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externalLinks/externalLink1.xml" ContentType="application/vnd.openxmlformats-officedocument.spreadsheetml.externalLink+xml"/>
  <Override PartName="/xl/externalLinks/_rels/externalLink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avební rozpočet" sheetId="1" state="visible" r:id="rId3"/>
    <sheet name="Stavební rozpočet - součet" sheetId="2" state="visible" r:id="rId4"/>
    <sheet name="Krycí list rozpočtu" sheetId="3" state="visible" r:id="rId5"/>
    <sheet name="VORN" sheetId="4" state="hidden" r:id="rId6"/>
  </sheets>
  <externalReferences>
    <externalReference r:id="rId7"/>
  </externalReferences>
  <definedNames>
    <definedName function="false" hidden="false" name="vorn_sum" vbProcedure="false">VORN!$I$36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<sst xmlns="http://schemas.openxmlformats.org/spreadsheetml/2006/main" count="3169" uniqueCount="1143">
  <si>
    <t xml:space="preserve">Slepý stavební rozpočet</t>
  </si>
  <si>
    <t xml:space="preserve">Název stavby:</t>
  </si>
  <si>
    <t xml:space="preserve">ZATEPLENÍ OBJEKTU BD Č.P.3014</t>
  </si>
  <si>
    <t xml:space="preserve">Doba výstavby:</t>
  </si>
  <si>
    <t xml:space="preserve"> </t>
  </si>
  <si>
    <t xml:space="preserve">Objednatel:</t>
  </si>
  <si>
    <t xml:space="preserve">MĚSTO VARNSDORF</t>
  </si>
  <si>
    <t xml:space="preserve">Druh stavby:</t>
  </si>
  <si>
    <t xml:space="preserve">STAVEBNÍ PRÁCE</t>
  </si>
  <si>
    <t xml:space="preserve">Začátek výstavby:</t>
  </si>
  <si>
    <t xml:space="preserve">Projektant:</t>
  </si>
  <si>
    <t xml:space="preserve">Ing. Jiří Drahota</t>
  </si>
  <si>
    <t xml:space="preserve">Lokalita:</t>
  </si>
  <si>
    <t xml:space="preserve">VARNSDORF,KAROLÍNY SVĚTLÉ Č.P.3014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</si>
  <si>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</si>
  <si>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</si>
  <si>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</si>
  <si>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</si>
  <si>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</si>
  <si>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Ing. Jiří Drahota, Jiří Trojan</t>
  </si>
  <si>
    <t xml:space="preserve">Č</t>
  </si>
  <si>
    <t xml:space="preserve">Kód</t>
  </si>
  <si>
    <t xml:space="preserve">Zkrácený popis</t>
  </si>
  <si>
    <t xml:space="preserve">MJ</t>
  </si>
  <si>
    <t xml:space="preserve">Množství</t>
  </si>
  <si>
    <t xml:space="preserve">Cena/MJ</t>
  </si>
  <si>
    <t xml:space="preserve">Náklady (Kč)</t>
  </si>
  <si>
    <t xml:space="preserve">Cenová</t>
  </si>
  <si>
    <t xml:space="preserve">ISWORK</t>
  </si>
  <si>
    <t xml:space="preserve">GROUPCODE</t>
  </si>
  <si>
    <t xml:space="preserve">VATTAX</t>
  </si>
  <si>
    <t xml:space="preserve">Rozměry</t>
  </si>
  <si>
    <t xml:space="preserve">(Kč)</t>
  </si>
  <si>
    <t xml:space="preserve">Dodávka</t>
  </si>
  <si>
    <t xml:space="preserve">Montáž</t>
  </si>
  <si>
    <t xml:space="preserve">Celkem</t>
  </si>
  <si>
    <t xml:space="preserve">soustava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</si>
  <si>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</si>
  <si>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</si>
  <si>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</si>
  <si>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</si>
  <si>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</si>
  <si>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</si>
  <si>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</si>
  <si>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</si>
  <si>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</si>
  <si>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MAT</t>
  </si>
  <si>
    <t xml:space="preserve">WORK</t>
  </si>
  <si>
    <t xml:space="preserve">CELK</t>
  </si>
  <si>
    <t xml:space="preserve">0</t>
  </si>
  <si>
    <t xml:space="preserve">Všeobecné konstrukce a práce</t>
  </si>
  <si>
    <t xml:space="preserve">1</t>
  </si>
  <si>
    <t xml:space="preserve">011123110</t>
  </si>
  <si>
    <t xml:space="preserve">Průzkumy a výtažné zkoušky</t>
  </si>
  <si>
    <t xml:space="preserve">soub</t>
  </si>
  <si>
    <t xml:space="preserve">RTS II / 2023</t>
  </si>
  <si>
    <t xml:space="preserve">0_</t>
  </si>
  <si>
    <t xml:space="preserve">_</t>
  </si>
  <si>
    <t xml:space="preserve">2</t>
  </si>
  <si>
    <t xml:space="preserve">011123120</t>
  </si>
  <si>
    <t xml:space="preserve">Dokumentace skutečného provedení</t>
  </si>
  <si>
    <t xml:space="preserve">3</t>
  </si>
  <si>
    <t xml:space="preserve">011123260</t>
  </si>
  <si>
    <t xml:space="preserve">Mimostaveništní doprava</t>
  </si>
  <si>
    <t xml:space="preserve">4</t>
  </si>
  <si>
    <t xml:space="preserve">011123510</t>
  </si>
  <si>
    <t xml:space="preserve">Územní vlivy</t>
  </si>
  <si>
    <t xml:space="preserve">zajištění proti účinkům větru,odvodnění při větších dešťových srážkách,vlivy klimatických podmínek</t>
  </si>
  <si>
    <t xml:space="preserve">5</t>
  </si>
  <si>
    <t xml:space="preserve">011123520</t>
  </si>
  <si>
    <t xml:space="preserve">Provozní vlivy</t>
  </si>
  <si>
    <t xml:space="preserve">práce za provozu,pohyb osob,městská doprava,parkování vozidel obyvatelů,atd.</t>
  </si>
  <si>
    <t xml:space="preserve">6</t>
  </si>
  <si>
    <t xml:space="preserve">011123610</t>
  </si>
  <si>
    <t xml:space="preserve">Zařízení staveniště</t>
  </si>
  <si>
    <t xml:space="preserve">přípravné práce,vybavení staveniště,pronájem ploch,skládky na staveništi</t>
  </si>
  <si>
    <t xml:space="preserve">připojení na inž.sítě,potřebné oplocení,potřebné osvětlení,dopravní značení atd.</t>
  </si>
  <si>
    <t xml:space="preserve">likvidace zařízení staveniště,úprava terénu a úklid</t>
  </si>
  <si>
    <t xml:space="preserve">11</t>
  </si>
  <si>
    <t xml:space="preserve">Přípravné a přidružené práce</t>
  </si>
  <si>
    <t xml:space="preserve">7</t>
  </si>
  <si>
    <t xml:space="preserve">113106032RA0</t>
  </si>
  <si>
    <t xml:space="preserve">Odstranění zám.dlažby 8 cm vč.podkladu,pl.do 50m2</t>
  </si>
  <si>
    <t xml:space="preserve">m2</t>
  </si>
  <si>
    <t xml:space="preserve">RTS I / 2023</t>
  </si>
  <si>
    <t xml:space="preserve">11_</t>
  </si>
  <si>
    <t xml:space="preserve">1_</t>
  </si>
  <si>
    <t xml:space="preserve">2,45*2,1</t>
  </si>
  <si>
    <t xml:space="preserve">8</t>
  </si>
  <si>
    <t xml:space="preserve">113201012RAC</t>
  </si>
  <si>
    <t xml:space="preserve">Vytrhání obrubníků chodníkových a parkových</t>
  </si>
  <si>
    <t xml:space="preserve">m</t>
  </si>
  <si>
    <t xml:space="preserve">2,45+2,45+2,1</t>
  </si>
  <si>
    <t xml:space="preserve">13</t>
  </si>
  <si>
    <t xml:space="preserve">Hloubené vykopávky</t>
  </si>
  <si>
    <t xml:space="preserve">9</t>
  </si>
  <si>
    <t xml:space="preserve">139600011RA0</t>
  </si>
  <si>
    <t xml:space="preserve">Ruční výkop v hornině 1-2</t>
  </si>
  <si>
    <t xml:space="preserve">m3</t>
  </si>
  <si>
    <t xml:space="preserve">13_</t>
  </si>
  <si>
    <t xml:space="preserve">(29,35+29,35+14,35+14,35)*0,2*0,7</t>
  </si>
  <si>
    <t xml:space="preserve">pro okapový chodník</t>
  </si>
  <si>
    <t xml:space="preserve">16</t>
  </si>
  <si>
    <t xml:space="preserve">Přemístění výkopku</t>
  </si>
  <si>
    <t xml:space="preserve">10</t>
  </si>
  <si>
    <t xml:space="preserve">167101101R00</t>
  </si>
  <si>
    <t xml:space="preserve">Nakládání výkopku z hor.1-4 v množství do 100 m3</t>
  </si>
  <si>
    <t xml:space="preserve">16_</t>
  </si>
  <si>
    <t xml:space="preserve">12,236</t>
  </si>
  <si>
    <t xml:space="preserve">162501102R00</t>
  </si>
  <si>
    <t xml:space="preserve">Vodorovné přemístění výkopku z hor.1-4 do 3000 m</t>
  </si>
  <si>
    <t xml:space="preserve">EKO SERVIS Varnsdorf</t>
  </si>
  <si>
    <t xml:space="preserve">17</t>
  </si>
  <si>
    <t xml:space="preserve">Konstrukce ze zemin</t>
  </si>
  <si>
    <t xml:space="preserve">12</t>
  </si>
  <si>
    <t xml:space="preserve">199000002R00</t>
  </si>
  <si>
    <t xml:space="preserve">Poplatek za skládku horniny 1- 4</t>
  </si>
  <si>
    <t xml:space="preserve">17_</t>
  </si>
  <si>
    <t xml:space="preserve">34,96</t>
  </si>
  <si>
    <t xml:space="preserve">18</t>
  </si>
  <si>
    <t xml:space="preserve">Povrchové úpravy terénu</t>
  </si>
  <si>
    <t xml:space="preserve">180404111R00</t>
  </si>
  <si>
    <t xml:space="preserve">Založení  trávníku výsevem na ornici</t>
  </si>
  <si>
    <t xml:space="preserve">18_</t>
  </si>
  <si>
    <t xml:space="preserve">87,4*1</t>
  </si>
  <si>
    <t xml:space="preserve">38</t>
  </si>
  <si>
    <t xml:space="preserve">Různé kompletní konstrukce nedělitelné do stav. dílů</t>
  </si>
  <si>
    <t xml:space="preserve">14</t>
  </si>
  <si>
    <t xml:space="preserve">389381001RT4</t>
  </si>
  <si>
    <t xml:space="preserve">Dobetonování prefabrikovaných konstrukcí čela lodžií</t>
  </si>
  <si>
    <t xml:space="preserve">38_</t>
  </si>
  <si>
    <t xml:space="preserve">3_</t>
  </si>
  <si>
    <t xml:space="preserve">3,75*2*12*0,2*0,1</t>
  </si>
  <si>
    <t xml:space="preserve">2,45*2*12*0,2*0,1</t>
  </si>
  <si>
    <t xml:space="preserve">41</t>
  </si>
  <si>
    <t xml:space="preserve">Stropy a stropní konstrukce (pro pozemní stavby)</t>
  </si>
  <si>
    <t xml:space="preserve">15</t>
  </si>
  <si>
    <t xml:space="preserve">416021121R00</t>
  </si>
  <si>
    <t xml:space="preserve">Podhledy SDK, kovová.kce CD. 1x deska RB 12,5 mm</t>
  </si>
  <si>
    <t xml:space="preserve">41_</t>
  </si>
  <si>
    <t xml:space="preserve">4_</t>
  </si>
  <si>
    <t xml:space="preserve">(2,26+0,08+1,71)*(2,33+0,08+4,04)</t>
  </si>
  <si>
    <t xml:space="preserve">vstupní hala,kočárkána,akustická deska MA(DF)12,5mm</t>
  </si>
  <si>
    <t xml:space="preserve">čedičová vata 80mm</t>
  </si>
  <si>
    <t xml:space="preserve">59</t>
  </si>
  <si>
    <t xml:space="preserve">Kryty pozemních komunikací, letišť a ploch dlážděných (předlažby)</t>
  </si>
  <si>
    <t xml:space="preserve">596100030RAD</t>
  </si>
  <si>
    <t xml:space="preserve">Chodník z dlažby betonové, podklad štěrkodrť</t>
  </si>
  <si>
    <t xml:space="preserve">59_</t>
  </si>
  <si>
    <t xml:space="preserve">5_</t>
  </si>
  <si>
    <t xml:space="preserve">87,4*0,5</t>
  </si>
  <si>
    <t xml:space="preserve">dlažba HBB 50x50x5cm</t>
  </si>
  <si>
    <t xml:space="preserve">596215021R00</t>
  </si>
  <si>
    <t xml:space="preserve">Kladení zámkové dlažby tl. 6 cm do drtě tl. 4 cm</t>
  </si>
  <si>
    <t xml:space="preserve">4,8*2,4</t>
  </si>
  <si>
    <t xml:space="preserve">59248030</t>
  </si>
  <si>
    <t xml:space="preserve">Dlažba zámková dle PD</t>
  </si>
  <si>
    <t xml:space="preserve">16,65</t>
  </si>
  <si>
    <t xml:space="preserve">200/200/60(např.BEST KARO)v loži ze štěrkodrti,</t>
  </si>
  <si>
    <t xml:space="preserve">;ztratné 4%; 0,666</t>
  </si>
  <si>
    <t xml:space="preserve">19</t>
  </si>
  <si>
    <t xml:space="preserve">597073404RT2</t>
  </si>
  <si>
    <t xml:space="preserve">Venkovní rohož 750/500/80mm</t>
  </si>
  <si>
    <t xml:space="preserve">kus</t>
  </si>
  <si>
    <t xml:space="preserve">pozinkovaný rám a rošt,vana z polymerbetonu,odtok svisle zkrz podestu,s napojením</t>
  </si>
  <si>
    <t xml:space="preserve">20</t>
  </si>
  <si>
    <t xml:space="preserve">597073403R00</t>
  </si>
  <si>
    <t xml:space="preserve">Dvorní vpusť 300/300/440mm</t>
  </si>
  <si>
    <t xml:space="preserve">litinový rám a rošt,integrovaný pachový uzávěr,kalový koš</t>
  </si>
  <si>
    <t xml:space="preserve">21</t>
  </si>
  <si>
    <t xml:space="preserve">998223011R00</t>
  </si>
  <si>
    <t xml:space="preserve">Přesun hmot, pozemní komunikace, kryt dlážděný</t>
  </si>
  <si>
    <t xml:space="preserve">t</t>
  </si>
  <si>
    <t xml:space="preserve">33,324</t>
  </si>
  <si>
    <t xml:space="preserve">61</t>
  </si>
  <si>
    <t xml:space="preserve">Úprava povrchů vnitřní</t>
  </si>
  <si>
    <t xml:space="preserve">22</t>
  </si>
  <si>
    <t xml:space="preserve">612401191RT2</t>
  </si>
  <si>
    <t xml:space="preserve">Omítka malých ploch vnitřních stěn do 0,09 m2</t>
  </si>
  <si>
    <t xml:space="preserve">61_</t>
  </si>
  <si>
    <t xml:space="preserve">6_</t>
  </si>
  <si>
    <t xml:space="preserve">začištění otvorů kolem mřížek</t>
  </si>
  <si>
    <t xml:space="preserve">62</t>
  </si>
  <si>
    <t xml:space="preserve">Úprava povrchů vnější</t>
  </si>
  <si>
    <t xml:space="preserve">23</t>
  </si>
  <si>
    <t xml:space="preserve">622311024R00</t>
  </si>
  <si>
    <t xml:space="preserve">Založení na montážní lať</t>
  </si>
  <si>
    <t xml:space="preserve">62_</t>
  </si>
  <si>
    <t xml:space="preserve">87,4</t>
  </si>
  <si>
    <t xml:space="preserve">24</t>
  </si>
  <si>
    <t xml:space="preserve">622311111R00</t>
  </si>
  <si>
    <t xml:space="preserve">Dilatační profil KZS průběžný</t>
  </si>
  <si>
    <t xml:space="preserve">34,75*2+1,25*2</t>
  </si>
  <si>
    <t xml:space="preserve">25</t>
  </si>
  <si>
    <t xml:space="preserve">622311732R00</t>
  </si>
  <si>
    <t xml:space="preserve">Zatepl.syst. ETICS, fasáda, miner.desky PV 100 mm soklová část</t>
  </si>
  <si>
    <t xml:space="preserve">Zatepl.syst. etics, fasáda, miner.desky PV 100 mm soklová část</t>
  </si>
  <si>
    <t xml:space="preserve">14,50*0,85</t>
  </si>
  <si>
    <t xml:space="preserve">29,50*0,8</t>
  </si>
  <si>
    <t xml:space="preserve">29,50*2,25</t>
  </si>
  <si>
    <t xml:space="preserve">26</t>
  </si>
  <si>
    <t xml:space="preserve">629481111R00</t>
  </si>
  <si>
    <t xml:space="preserve">Příplatek na lepidlo(nerovnosti)</t>
  </si>
  <si>
    <t xml:space="preserve">183,33+2316,64+85,68+220,32</t>
  </si>
  <si>
    <t xml:space="preserve">zvýšená spotřeba za lepidlo 4kg/m2</t>
  </si>
  <si>
    <t xml:space="preserve">27</t>
  </si>
  <si>
    <t xml:space="preserve">622311754R00</t>
  </si>
  <si>
    <t xml:space="preserve">Zatepl.syst.ETICS, ostění, miner.desky PV 30-50mm</t>
  </si>
  <si>
    <t xml:space="preserve">(1,2+1,45+1,45)*7*12*0,2</t>
  </si>
  <si>
    <t xml:space="preserve">ostění oken</t>
  </si>
  <si>
    <t xml:space="preserve">(2,4+1,45+1,45)*5*12*0,2</t>
  </si>
  <si>
    <t xml:space="preserve">(3,65+2,55+2,55)*2*12*0,2</t>
  </si>
  <si>
    <t xml:space="preserve">lodžie</t>
  </si>
  <si>
    <t xml:space="preserve">(2,45+2,55+2,55)*2*12*0,2</t>
  </si>
  <si>
    <t xml:space="preserve">(1+2+2)*0,2</t>
  </si>
  <si>
    <t xml:space="preserve">dveře</t>
  </si>
  <si>
    <t xml:space="preserve">(2,4+2,15+215)*0,2</t>
  </si>
  <si>
    <t xml:space="preserve">28</t>
  </si>
  <si>
    <t xml:space="preserve">938902122R00</t>
  </si>
  <si>
    <t xml:space="preserve">Čištění ploch betonových konstrukcí tlakovou vodou</t>
  </si>
  <si>
    <t xml:space="preserve">2316,64</t>
  </si>
  <si>
    <t xml:space="preserve">29</t>
  </si>
  <si>
    <t xml:space="preserve">627456135R00</t>
  </si>
  <si>
    <t xml:space="preserve">Začištění poškozeného betonového zdiva reprofilační maltou předpokládaný rozsah</t>
  </si>
  <si>
    <t xml:space="preserve">50</t>
  </si>
  <si>
    <t xml:space="preserve">stěny,rampa vstupů</t>
  </si>
  <si>
    <t xml:space="preserve">30</t>
  </si>
  <si>
    <t xml:space="preserve">620991121R00</t>
  </si>
  <si>
    <t xml:space="preserve">Zakrývání výplní vnějších otvorů z lešení</t>
  </si>
  <si>
    <t xml:space="preserve">114,75+78,03+74,97+111,69+41,76+83,52+104,4+125,28+1,8+5,6</t>
  </si>
  <si>
    <t xml:space="preserve">31</t>
  </si>
  <si>
    <t xml:space="preserve">622319051RT1</t>
  </si>
  <si>
    <t xml:space="preserve">Montáž lišt profilem s tkaninou</t>
  </si>
  <si>
    <t xml:space="preserve">3316,20</t>
  </si>
  <si>
    <t xml:space="preserve">32</t>
  </si>
  <si>
    <t xml:space="preserve">620991005R00</t>
  </si>
  <si>
    <t xml:space="preserve">Začišťovací okenní lišta parapetní</t>
  </si>
  <si>
    <t xml:space="preserve">2,6*2*12</t>
  </si>
  <si>
    <t xml:space="preserve">1,65*2*12</t>
  </si>
  <si>
    <t xml:space="preserve">1,2*7*12</t>
  </si>
  <si>
    <t xml:space="preserve">2,4*4*12</t>
  </si>
  <si>
    <t xml:space="preserve">33</t>
  </si>
  <si>
    <t xml:space="preserve">620991004R00</t>
  </si>
  <si>
    <t xml:space="preserve">Začišťovací okenní lišta APU</t>
  </si>
  <si>
    <t xml:space="preserve">921,2</t>
  </si>
  <si>
    <t xml:space="preserve">okna</t>
  </si>
  <si>
    <t xml:space="preserve">285,7</t>
  </si>
  <si>
    <t xml:space="preserve">dveře lodžie</t>
  </si>
  <si>
    <t xml:space="preserve">34</t>
  </si>
  <si>
    <t xml:space="preserve">55392762</t>
  </si>
  <si>
    <t xml:space="preserve">Lišta rohová s tkaninou</t>
  </si>
  <si>
    <t xml:space="preserve">1323</t>
  </si>
  <si>
    <t xml:space="preserve">570</t>
  </si>
  <si>
    <t xml:space="preserve">233,9</t>
  </si>
  <si>
    <t xml:space="preserve">35</t>
  </si>
  <si>
    <t xml:space="preserve">28350261</t>
  </si>
  <si>
    <t xml:space="preserve">Lišta s okapničkou</t>
  </si>
  <si>
    <t xml:space="preserve">523</t>
  </si>
  <si>
    <t xml:space="preserve">36</t>
  </si>
  <si>
    <t xml:space="preserve">622311732RT5</t>
  </si>
  <si>
    <t xml:space="preserve">Zatepl.syst. ETICS, fasáda, miner.desky PV 100 mm</t>
  </si>
  <si>
    <t xml:space="preserve">87,4*2,25</t>
  </si>
  <si>
    <t xml:space="preserve">Položka obsahuje: nanesení lepícího tmelu na izolační desky, nalepení desek,zajištění talířovými hmoždinkami (min.6ks/m2), kašírování desek stěrkovou hmotou,natažení stěrky s výztužnou tkaninou (1,15m2/m2), kontaktní nátěr a povrchovou úpravu omítkou</t>
  </si>
  <si>
    <t xml:space="preserve">-(1,8*0,6*7)</t>
  </si>
  <si>
    <t xml:space="preserve">-(1,2*0,6*8)</t>
  </si>
  <si>
    <t xml:space="preserve">37</t>
  </si>
  <si>
    <t xml:space="preserve">622311733RT5</t>
  </si>
  <si>
    <t xml:space="preserve">Zatepl.syst. ETICS, fasáda, miner.desky PK120 mm</t>
  </si>
  <si>
    <t xml:space="preserve">(29,50+29,50+14,50+14,50)*34,75</t>
  </si>
  <si>
    <t xml:space="preserve">-(3,75*2,55*12)</t>
  </si>
  <si>
    <t xml:space="preserve">-(2,55*2,55*12)</t>
  </si>
  <si>
    <t xml:space="preserve">-(2,45*2,55*12)</t>
  </si>
  <si>
    <t xml:space="preserve">-(3,65*2,55*12)</t>
  </si>
  <si>
    <t xml:space="preserve">-1,2*1,45*24</t>
  </si>
  <si>
    <t xml:space="preserve">-2,4*1,45*24</t>
  </si>
  <si>
    <t xml:space="preserve">-1,2*1,45*5*12</t>
  </si>
  <si>
    <t xml:space="preserve">okna východní strana</t>
  </si>
  <si>
    <t xml:space="preserve">-2,4*1,45*3*12</t>
  </si>
  <si>
    <t xml:space="preserve">-0,9*2</t>
  </si>
  <si>
    <t xml:space="preserve">-2,4*2,15</t>
  </si>
  <si>
    <t xml:space="preserve">-45,72</t>
  </si>
  <si>
    <t xml:space="preserve">sokl lodžií</t>
  </si>
  <si>
    <t xml:space="preserve">Zatepl.syst.ETICS, fasáda, miner.desky PV 100 mm</t>
  </si>
  <si>
    <t xml:space="preserve">0,35*8*2,55*12</t>
  </si>
  <si>
    <t xml:space="preserve">lodžie u okna a dveří</t>
  </si>
  <si>
    <t xml:space="preserve">(5,35+5,35+5,37+5,37)*3,65</t>
  </si>
  <si>
    <t xml:space="preserve">výtah</t>
  </si>
  <si>
    <t xml:space="preserve">39</t>
  </si>
  <si>
    <t xml:space="preserve">622311735RT5</t>
  </si>
  <si>
    <t xml:space="preserve">Zatepl.syst. ETICS, fasáda, miner.desky PV 160 mm</t>
  </si>
  <si>
    <t xml:space="preserve">0,9*2,55*8*12</t>
  </si>
  <si>
    <t xml:space="preserve">boky lodžií</t>
  </si>
  <si>
    <t xml:space="preserve">-22,68</t>
  </si>
  <si>
    <t xml:space="preserve">40</t>
  </si>
  <si>
    <t xml:space="preserve">622324730R00</t>
  </si>
  <si>
    <t xml:space="preserve">Zatepl.syst.strop lodžií, min.vlna PV, tl.30 s povrchovou úpravou</t>
  </si>
  <si>
    <t xml:space="preserve">Zatepl.syst.strop lodžií, min.vlna KV, tl.30 s povrchovou úpravou</t>
  </si>
  <si>
    <t xml:space="preserve">198,899</t>
  </si>
  <si>
    <t xml:space="preserve">620452101R00</t>
  </si>
  <si>
    <t xml:space="preserve">Vnější úpravy povrchů rampy reprofilační maltou</t>
  </si>
  <si>
    <t xml:space="preserve">42</t>
  </si>
  <si>
    <t xml:space="preserve">622311122R00</t>
  </si>
  <si>
    <t xml:space="preserve">Zateplovací systém ETICS, sokl, soklové desky EPS 150 tl. 100 mm</t>
  </si>
  <si>
    <t xml:space="preserve">RTS I / 2024</t>
  </si>
  <si>
    <t xml:space="preserve">Zateplovací systém ETICS, sokl, EPS tl. 100 mm</t>
  </si>
  <si>
    <t xml:space="preserve">(1,37+1,37)*0,3*12</t>
  </si>
  <si>
    <t xml:space="preserve">Položka obsahuje: nanesení lepícího tmelu na izolační desky, nalepení desek,zajištění talířovými hmoždinkami (min.6ks/m2),natažení stěrky s výztužnou tkaninou (1,15m2/m2), kontaktní nátěr a povrchovou úpravu omítkou</t>
  </si>
  <si>
    <t xml:space="preserve">43</t>
  </si>
  <si>
    <t xml:space="preserve">622311123R00</t>
  </si>
  <si>
    <t xml:space="preserve">Zateplovací systém ETICS, sokl, soklové desky EPS 150 tl. 120 mm</t>
  </si>
  <si>
    <t xml:space="preserve">Zateplovací systém ETICS, sokl, EPS tl. 120 mm</t>
  </si>
  <si>
    <t xml:space="preserve">(3,8+2,6+2,55+3,75)*0,3*12</t>
  </si>
  <si>
    <t xml:space="preserve">44</t>
  </si>
  <si>
    <t xml:space="preserve">622311124R00</t>
  </si>
  <si>
    <t xml:space="preserve">Zateplovací systém ETICS, sokl,soklové desky EPS 150 tl. 160 mm</t>
  </si>
  <si>
    <t xml:space="preserve">Zateplovací systém ETICS, sokl, EPS tl. 160 mm</t>
  </si>
  <si>
    <t xml:space="preserve">1,05*6*0,3*12</t>
  </si>
  <si>
    <t xml:space="preserve">45</t>
  </si>
  <si>
    <t xml:space="preserve">999281212R00</t>
  </si>
  <si>
    <t xml:space="preserve">Přesun hmot, opravy vněj. plášťů výšky do 36 m</t>
  </si>
  <si>
    <t xml:space="preserve">103,899</t>
  </si>
  <si>
    <t xml:space="preserve">63</t>
  </si>
  <si>
    <t xml:space="preserve">Podlahy a podlahové konstrukce</t>
  </si>
  <si>
    <t xml:space="preserve">46</t>
  </si>
  <si>
    <t xml:space="preserve">632411135RT1</t>
  </si>
  <si>
    <t xml:space="preserve">Ochranný vyrovnávací potěr tl.min 35mm</t>
  </si>
  <si>
    <t xml:space="preserve">63_</t>
  </si>
  <si>
    <t xml:space="preserve">rampa vstupu</t>
  </si>
  <si>
    <t xml:space="preserve">47</t>
  </si>
  <si>
    <t xml:space="preserve">632922991R00</t>
  </si>
  <si>
    <t xml:space="preserve">Úprava spodní hrany rampy a boky polymerakrylátovou stěrkou,mozaiková omítka boků</t>
  </si>
  <si>
    <t xml:space="preserve">4,8*2</t>
  </si>
  <si>
    <t xml:space="preserve">48</t>
  </si>
  <si>
    <t xml:space="preserve">632411104R00</t>
  </si>
  <si>
    <t xml:space="preserve">Vyspravení povrchů podlah  lodžií</t>
  </si>
  <si>
    <t xml:space="preserve">64</t>
  </si>
  <si>
    <t xml:space="preserve">Výplně otvorů</t>
  </si>
  <si>
    <t xml:space="preserve">49</t>
  </si>
  <si>
    <t xml:space="preserve">641940023RA0</t>
  </si>
  <si>
    <t xml:space="preserve">Osazení a dodávka oken dle PD 1200x630</t>
  </si>
  <si>
    <t xml:space="preserve">64_</t>
  </si>
  <si>
    <t xml:space="preserve">642940010RAA</t>
  </si>
  <si>
    <t xml:space="preserve">Dveře jednokřídlové plast dle PD 960x1900 s montáží</t>
  </si>
  <si>
    <t xml:space="preserve">včetně zapravení ostění</t>
  </si>
  <si>
    <t xml:space="preserve">711</t>
  </si>
  <si>
    <t xml:space="preserve">Izolace proti vodě</t>
  </si>
  <si>
    <t xml:space="preserve">51</t>
  </si>
  <si>
    <t xml:space="preserve">711142559RY1</t>
  </si>
  <si>
    <t xml:space="preserve">Provedení izolace proti vlhkosti na ploše svislé, z polymer-akrylátové stěrky dle PD soklová část</t>
  </si>
  <si>
    <t xml:space="preserve">711_</t>
  </si>
  <si>
    <t xml:space="preserve">71_</t>
  </si>
  <si>
    <t xml:space="preserve">(29,5+29,5+14,50+14,50)*0,95*2</t>
  </si>
  <si>
    <t xml:space="preserve">výkres č.D.1.1.b.18</t>
  </si>
  <si>
    <t xml:space="preserve">52</t>
  </si>
  <si>
    <t xml:space="preserve">711111001RZ1</t>
  </si>
  <si>
    <t xml:space="preserve">Provedení izolace proti vlhkosti na ploše vodorovné, 1x asfaltovým penetračním nátěrem</t>
  </si>
  <si>
    <t xml:space="preserve">včetně laku ALP,rampa vstupu</t>
  </si>
  <si>
    <t xml:space="preserve">53</t>
  </si>
  <si>
    <t xml:space="preserve">711141559RY2</t>
  </si>
  <si>
    <t xml:space="preserve">Provedení izolace proti vlhkosti na ploše vodorovné, asfaltovými pásy přitavením</t>
  </si>
  <si>
    <t xml:space="preserve">včetně materiálu,rampa vstupu</t>
  </si>
  <si>
    <t xml:space="preserve">54</t>
  </si>
  <si>
    <t xml:space="preserve">998711103R00</t>
  </si>
  <si>
    <t xml:space="preserve">Přesun hmot pro izolace proti vodě, výšky do 60 m</t>
  </si>
  <si>
    <t xml:space="preserve">1,088</t>
  </si>
  <si>
    <t xml:space="preserve">763</t>
  </si>
  <si>
    <t xml:space="preserve">Úpravy stěny lodžií</t>
  </si>
  <si>
    <t xml:space="preserve">55</t>
  </si>
  <si>
    <t xml:space="preserve">762111811R00</t>
  </si>
  <si>
    <t xml:space="preserve">Demontáž stěn palubky,vata 100mm, a rošt</t>
  </si>
  <si>
    <t xml:space="preserve">763_</t>
  </si>
  <si>
    <t xml:space="preserve">76_</t>
  </si>
  <si>
    <t xml:space="preserve">2,55*2,55*3</t>
  </si>
  <si>
    <t xml:space="preserve">48*0,9*2,2</t>
  </si>
  <si>
    <t xml:space="preserve">56</t>
  </si>
  <si>
    <t xml:space="preserve">762134122RT2</t>
  </si>
  <si>
    <t xml:space="preserve">Montáž bednění stěn, OSB deska,parotěs,min.vata</t>
  </si>
  <si>
    <t xml:space="preserve">19,507</t>
  </si>
  <si>
    <t xml:space="preserve">57</t>
  </si>
  <si>
    <t xml:space="preserve">3,132</t>
  </si>
  <si>
    <t xml:space="preserve">712</t>
  </si>
  <si>
    <t xml:space="preserve">Izolace střech (živičné krytiny)</t>
  </si>
  <si>
    <t xml:space="preserve">58</t>
  </si>
  <si>
    <t xml:space="preserve">712491176R00</t>
  </si>
  <si>
    <t xml:space="preserve">Připevnění izolace kotvicími terči včetně dodávky  polyamidových teleskopů dle PD</t>
  </si>
  <si>
    <t xml:space="preserve">712_</t>
  </si>
  <si>
    <t xml:space="preserve">3212</t>
  </si>
  <si>
    <t xml:space="preserve">mechanicky kotvené v podélném a příčném přesahu pomocí střešních šroubů a polyamidových teleskopů </t>
  </si>
  <si>
    <t xml:space="preserve">712990816RT1</t>
  </si>
  <si>
    <t xml:space="preserve">Příplatek za  provizorní zakrývání střech ochranými plachtami v průběhu výstavby</t>
  </si>
  <si>
    <t xml:space="preserve">375,50</t>
  </si>
  <si>
    <t xml:space="preserve">5,35*5,37</t>
  </si>
  <si>
    <t xml:space="preserve">střecha strojovny</t>
  </si>
  <si>
    <t xml:space="preserve">60</t>
  </si>
  <si>
    <t xml:space="preserve">712391587R00</t>
  </si>
  <si>
    <t xml:space="preserve">Celoplošné nalepení  pásů samolepících</t>
  </si>
  <si>
    <t xml:space="preserve">461,949</t>
  </si>
  <si>
    <t xml:space="preserve">62852269</t>
  </si>
  <si>
    <t xml:space="preserve">Pás modif. asfalt samolep SBS modifikovaný s vložkou ze skleněné rohože ,tl.3mm</t>
  </si>
  <si>
    <t xml:space="preserve">Pás modif. asfalt samolep SBS modifikovaný s vložkoum ze skleněné rohože ,tl.3mm</t>
  </si>
  <si>
    <t xml:space="preserve">;ztratné 15%; 69,29235</t>
  </si>
  <si>
    <t xml:space="preserve">712341559RT1</t>
  </si>
  <si>
    <t xml:space="preserve">Povlaková krytina střech do 10°, NAIP přitavením</t>
  </si>
  <si>
    <t xml:space="preserve">628522531</t>
  </si>
  <si>
    <t xml:space="preserve">Pás modifikovaný asfalt s vložkou ze skelné tkaniny a polyesterové rohože</t>
  </si>
  <si>
    <t xml:space="preserve">s břidličným posypem min.tl.4,2mm plnoplošně nataven</t>
  </si>
  <si>
    <t xml:space="preserve">998713104R00</t>
  </si>
  <si>
    <t xml:space="preserve">Přesun hmot pro izolace tepelné, výšky do 36 m</t>
  </si>
  <si>
    <t xml:space="preserve">5,117</t>
  </si>
  <si>
    <t xml:space="preserve">65</t>
  </si>
  <si>
    <t xml:space="preserve">712300841R00</t>
  </si>
  <si>
    <t xml:space="preserve">Odstranění mechu ze střech plochých do 10°, povlaková krytina,včetně zametení</t>
  </si>
  <si>
    <t xml:space="preserve">66</t>
  </si>
  <si>
    <t xml:space="preserve">712300951RT3</t>
  </si>
  <si>
    <t xml:space="preserve">Oprava boulí na povlakové krytině střech do 10°, asfaltové pásy přitavením</t>
  </si>
  <si>
    <t xml:space="preserve">vyříznutí boulí,penetrace podkladu,včetně alp,včetně natavení,včetně asf.pásu</t>
  </si>
  <si>
    <t xml:space="preserve">67</t>
  </si>
  <si>
    <t xml:space="preserve">712997 R-16</t>
  </si>
  <si>
    <t xml:space="preserve">Přilepení náběhových klínů 50/50mm z minerální vaty včetně dodávky</t>
  </si>
  <si>
    <t xml:space="preserve">Přilepení  klínů z minerální vaty včetně dodávky</t>
  </si>
  <si>
    <t xml:space="preserve">(28,8+12+1,8)*2</t>
  </si>
  <si>
    <t xml:space="preserve">atika</t>
  </si>
  <si>
    <t xml:space="preserve">5,4+5,35+5,4</t>
  </si>
  <si>
    <t xml:space="preserve">strojovna</t>
  </si>
  <si>
    <t xml:space="preserve">(1,25+1,15)*2*11</t>
  </si>
  <si>
    <t xml:space="preserve">komory</t>
  </si>
  <si>
    <t xml:space="preserve">28,8*2</t>
  </si>
  <si>
    <t xml:space="preserve">žlab</t>
  </si>
  <si>
    <t xml:space="preserve">713</t>
  </si>
  <si>
    <t xml:space="preserve">Izolace tepelné</t>
  </si>
  <si>
    <t xml:space="preserve">68</t>
  </si>
  <si>
    <t xml:space="preserve">713141313R00</t>
  </si>
  <si>
    <t xml:space="preserve">Izolace tepelná střech do tl.200 mm,2vrstvy,kotvy</t>
  </si>
  <si>
    <t xml:space="preserve">713_</t>
  </si>
  <si>
    <t xml:space="preserve">404,229</t>
  </si>
  <si>
    <t xml:space="preserve">69</t>
  </si>
  <si>
    <t xml:space="preserve">28375766.A</t>
  </si>
  <si>
    <t xml:space="preserve">Deska izolační polystyrén  EPS 150-S tl.100mm</t>
  </si>
  <si>
    <t xml:space="preserve">404,229*0,2</t>
  </si>
  <si>
    <t xml:space="preserve">dvě vrstvy po 100mm</t>
  </si>
  <si>
    <t xml:space="preserve">;ztratné 8%; 6,467664</t>
  </si>
  <si>
    <t xml:space="preserve">70</t>
  </si>
  <si>
    <t xml:space="preserve">713131141R00</t>
  </si>
  <si>
    <t xml:space="preserve">Montáž tepelné izolace stěn</t>
  </si>
  <si>
    <t xml:space="preserve">(29,35+29,35+14,35+14,35)*0,6</t>
  </si>
  <si>
    <t xml:space="preserve">71</t>
  </si>
  <si>
    <t xml:space="preserve">28375768.A</t>
  </si>
  <si>
    <t xml:space="preserve">Deska izolační polystyrén  EPS 150</t>
  </si>
  <si>
    <t xml:space="preserve">52,44*0,12</t>
  </si>
  <si>
    <t xml:space="preserve">;ztratné 6%; 0,377568</t>
  </si>
  <si>
    <t xml:space="preserve">72</t>
  </si>
  <si>
    <t xml:space="preserve">713121111RT1</t>
  </si>
  <si>
    <t xml:space="preserve">Montáž tepelné izolace podlah na sucho, jednovrstvá</t>
  </si>
  <si>
    <t xml:space="preserve">73</t>
  </si>
  <si>
    <t xml:space="preserve">198,899*0,05</t>
  </si>
  <si>
    <t xml:space="preserve">;ztratné 6%; 0,596697</t>
  </si>
  <si>
    <t xml:space="preserve">74</t>
  </si>
  <si>
    <t xml:space="preserve">998713103R00</t>
  </si>
  <si>
    <t xml:space="preserve">2,177</t>
  </si>
  <si>
    <t xml:space="preserve">721</t>
  </si>
  <si>
    <t xml:space="preserve">Vnitřní kanalizace</t>
  </si>
  <si>
    <t xml:space="preserve">75</t>
  </si>
  <si>
    <t xml:space="preserve">721273200RT3</t>
  </si>
  <si>
    <t xml:space="preserve">Souprava ventilační střešní HL DN 150 PVC</t>
  </si>
  <si>
    <t xml:space="preserve">721_</t>
  </si>
  <si>
    <t xml:space="preserve">72_</t>
  </si>
  <si>
    <t xml:space="preserve">s nádstavcem připojení</t>
  </si>
  <si>
    <t xml:space="preserve">76</t>
  </si>
  <si>
    <t xml:space="preserve">55162207.A</t>
  </si>
  <si>
    <t xml:space="preserve"> střešní vtok svislý výrobek č.1 viz výkres střechy s montáží</t>
  </si>
  <si>
    <t xml:space="preserve">77</t>
  </si>
  <si>
    <t xml:space="preserve">721110806R00</t>
  </si>
  <si>
    <t xml:space="preserve">Demontáž potrubí střešní vpusť</t>
  </si>
  <si>
    <t xml:space="preserve">78</t>
  </si>
  <si>
    <t xml:space="preserve">721273144R00</t>
  </si>
  <si>
    <t xml:space="preserve">Demontáž hlavice odvětrání</t>
  </si>
  <si>
    <t xml:space="preserve">728</t>
  </si>
  <si>
    <t xml:space="preserve">Vzduchotechnika-úprava vzduchotechnických objektů</t>
  </si>
  <si>
    <t xml:space="preserve">79</t>
  </si>
  <si>
    <t xml:space="preserve">713131131R00</t>
  </si>
  <si>
    <t xml:space="preserve">Izolace tepelná  lepením-úprava VZT objektů na střeše</t>
  </si>
  <si>
    <t xml:space="preserve">728_</t>
  </si>
  <si>
    <t xml:space="preserve">(1,25+1,15)*2*0,2*5</t>
  </si>
  <si>
    <t xml:space="preserve">včetně XPS 100mm stěny</t>
  </si>
  <si>
    <t xml:space="preserve">1,25*1,15*5</t>
  </si>
  <si>
    <t xml:space="preserve">vodorovné,sraženy hrany po obvodu</t>
  </si>
  <si>
    <t xml:space="preserve">80</t>
  </si>
  <si>
    <t xml:space="preserve">767135 R-05</t>
  </si>
  <si>
    <t xml:space="preserve">kotevní rám -montáž a dodávka-tenkostěnné pozinkované profily L 60x60x5mm</t>
  </si>
  <si>
    <t xml:space="preserve">(0,95+1,05)*2*5</t>
  </si>
  <si>
    <t xml:space="preserve">úprava sběrných komor VZT</t>
  </si>
  <si>
    <t xml:space="preserve">81</t>
  </si>
  <si>
    <t xml:space="preserve">31171801.A</t>
  </si>
  <si>
    <t xml:space="preserve">Kotva chemická - ampule maxima M10</t>
  </si>
  <si>
    <t xml:space="preserve">8*5</t>
  </si>
  <si>
    <t xml:space="preserve">82</t>
  </si>
  <si>
    <t xml:space="preserve">766111110R00</t>
  </si>
  <si>
    <t xml:space="preserve">Bednění boků deskami z vodovzdorné překlížky tl.18mm včetně vrutů</t>
  </si>
  <si>
    <t xml:space="preserve">Bednění boků deskami z vodo vzdorné překlížky tl.18mm včetně vrutů</t>
  </si>
  <si>
    <t xml:space="preserve">(0,95+1,05)*2*0,5*5</t>
  </si>
  <si>
    <t xml:space="preserve">včetně materiálů</t>
  </si>
  <si>
    <t xml:space="preserve">83</t>
  </si>
  <si>
    <t xml:space="preserve">766111210R00</t>
  </si>
  <si>
    <t xml:space="preserve">Bednění střech deskami z vodovzdorné překlížky tl.30mm včetně vrutů</t>
  </si>
  <si>
    <t xml:space="preserve">1,05*1,05*5</t>
  </si>
  <si>
    <t xml:space="preserve">84</t>
  </si>
  <si>
    <t xml:space="preserve">762112110R00</t>
  </si>
  <si>
    <t xml:space="preserve">Montáž a dodávka hranolků v rozích</t>
  </si>
  <si>
    <t xml:space="preserve">(0,95+1,05)*2*5+0,4*4*5</t>
  </si>
  <si>
    <t xml:space="preserve">včetně hranolků 50/50</t>
  </si>
  <si>
    <t xml:space="preserve">85</t>
  </si>
  <si>
    <t xml:space="preserve">712211559R00</t>
  </si>
  <si>
    <t xml:space="preserve">Deska XPS 100mm kotvená do překližky</t>
  </si>
  <si>
    <t xml:space="preserve">1,05*1,15*5</t>
  </si>
  <si>
    <t xml:space="preserve">86</t>
  </si>
  <si>
    <t xml:space="preserve">713131131RT2</t>
  </si>
  <si>
    <t xml:space="preserve">Izolace tepelná stěn lepením ETICS EPS 100F opatřen asf.pásy</t>
  </si>
  <si>
    <t xml:space="preserve">(1,05+1,15)*2*0,45*5</t>
  </si>
  <si>
    <t xml:space="preserve">87</t>
  </si>
  <si>
    <t xml:space="preserve">728611218R00</t>
  </si>
  <si>
    <t xml:space="preserve"> Montáž a dodávka střešního ventilátoru</t>
  </si>
  <si>
    <t xml:space="preserve">zařízení č.1-větrání soc.zařízení odvod 990m3/h,disp.tlak 350Pa,příkon 180W,napětí 230V,akustický tlak ve 3m 51 dB(A)</t>
  </si>
  <si>
    <t xml:space="preserve">88</t>
  </si>
  <si>
    <t xml:space="preserve">728312115R00</t>
  </si>
  <si>
    <t xml:space="preserve"> montáže a dodávka soklový  tlumič hluku</t>
  </si>
  <si>
    <t xml:space="preserve">89</t>
  </si>
  <si>
    <t xml:space="preserve">728616212R00</t>
  </si>
  <si>
    <t xml:space="preserve"> montáž a dodávka volné příruby</t>
  </si>
  <si>
    <t xml:space="preserve">90</t>
  </si>
  <si>
    <t xml:space="preserve">728413521R00</t>
  </si>
  <si>
    <t xml:space="preserve">Montáž a dodávka talířového ventilu kruhového do d 100 mm s el.pohonem</t>
  </si>
  <si>
    <t xml:space="preserve">110</t>
  </si>
  <si>
    <t xml:space="preserve">91</t>
  </si>
  <si>
    <t xml:space="preserve">728415811R00</t>
  </si>
  <si>
    <t xml:space="preserve"> Demontáž mřížky větrací nebo ventilační  na soc.zařízení</t>
  </si>
  <si>
    <t xml:space="preserve">92</t>
  </si>
  <si>
    <t xml:space="preserve">728611857R00</t>
  </si>
  <si>
    <t xml:space="preserve">Dmtž ventilátoru včetně podstavců</t>
  </si>
  <si>
    <t xml:space="preserve">93</t>
  </si>
  <si>
    <t xml:space="preserve">728212411R00</t>
  </si>
  <si>
    <t xml:space="preserve">Případná úprava napojení na stávající páteřní rozvod</t>
  </si>
  <si>
    <t xml:space="preserve">Případná úpravan napojení na stávající páteřní rozvod</t>
  </si>
  <si>
    <t xml:space="preserve">94</t>
  </si>
  <si>
    <t xml:space="preserve">728414612R00</t>
  </si>
  <si>
    <t xml:space="preserve"> Montáž a dodávka digestoře s ventilátorem,tukovým filtrem a osvětlením</t>
  </si>
  <si>
    <t xml:space="preserve"> odvod 230m3/h, přikon 180 w, napětí 230 V, včetně dodávky</t>
  </si>
  <si>
    <t xml:space="preserve">95</t>
  </si>
  <si>
    <t xml:space="preserve">728314115R00</t>
  </si>
  <si>
    <t xml:space="preserve"> Montáž a dodávka protidešť. žaluzie</t>
  </si>
  <si>
    <t xml:space="preserve">96</t>
  </si>
  <si>
    <t xml:space="preserve">728115111R00</t>
  </si>
  <si>
    <t xml:space="preserve"> ohebné potrubí 125 montáž a dodávka</t>
  </si>
  <si>
    <t xml:space="preserve">97</t>
  </si>
  <si>
    <t xml:space="preserve">728414862R00</t>
  </si>
  <si>
    <t xml:space="preserve"> Demontáž digestoře</t>
  </si>
  <si>
    <t xml:space="preserve">98</t>
  </si>
  <si>
    <t xml:space="preserve"> případná úprava napojení na stávající páteřní rozvod</t>
  </si>
  <si>
    <t xml:space="preserve">99</t>
  </si>
  <si>
    <t xml:space="preserve">42972862</t>
  </si>
  <si>
    <t xml:space="preserve">Mřížka venkovní nerezová se síťkou proti hmyzu D 100,trubka PVC D 100 a vnitřní plastová větrací mřížka s regulací 150/150 mm</t>
  </si>
  <si>
    <t xml:space="preserve">100</t>
  </si>
  <si>
    <t xml:space="preserve">Montáž digestoře</t>
  </si>
  <si>
    <t xml:space="preserve">101</t>
  </si>
  <si>
    <t xml:space="preserve">998725104R00</t>
  </si>
  <si>
    <t xml:space="preserve">Přesun hmot pro VZT, výšky do 36 m</t>
  </si>
  <si>
    <t xml:space="preserve">1,343</t>
  </si>
  <si>
    <t xml:space="preserve">762</t>
  </si>
  <si>
    <t xml:space="preserve">Konstrukce tesařské</t>
  </si>
  <si>
    <t xml:space="preserve">102</t>
  </si>
  <si>
    <t xml:space="preserve">762512115R00</t>
  </si>
  <si>
    <t xml:space="preserve">Položení  desek na pero a drážku-atiky</t>
  </si>
  <si>
    <t xml:space="preserve">762_</t>
  </si>
  <si>
    <t xml:space="preserve">(29,50+29,50+14,50+14,50)*0,95</t>
  </si>
  <si>
    <t xml:space="preserve">(30+30+35) RŠ atiky</t>
  </si>
  <si>
    <t xml:space="preserve">103</t>
  </si>
  <si>
    <t xml:space="preserve">766417111R00</t>
  </si>
  <si>
    <t xml:space="preserve">Podkladový rošt pod obložení stěn dle PD atika</t>
  </si>
  <si>
    <t xml:space="preserve">83,60</t>
  </si>
  <si>
    <t xml:space="preserve">včetně fošen a oc.úhelníků</t>
  </si>
  <si>
    <t xml:space="preserve">104</t>
  </si>
  <si>
    <t xml:space="preserve">762132811R00</t>
  </si>
  <si>
    <t xml:space="preserve">Montáž bednění stěn z vodovzdorné překližky</t>
  </si>
  <si>
    <t xml:space="preserve">30,48+22,32</t>
  </si>
  <si>
    <t xml:space="preserve">č.v.21+č.v.19</t>
  </si>
  <si>
    <t xml:space="preserve">105</t>
  </si>
  <si>
    <t xml:space="preserve">60624194</t>
  </si>
  <si>
    <t xml:space="preserve">Překližka foliovaná hladká vodovzdorná tl. 15 mm, F/F</t>
  </si>
  <si>
    <t xml:space="preserve">30,48</t>
  </si>
  <si>
    <t xml:space="preserve">č.v.21</t>
  </si>
  <si>
    <t xml:space="preserve">;ztratné 4%; 1,2192</t>
  </si>
  <si>
    <t xml:space="preserve">106</t>
  </si>
  <si>
    <t xml:space="preserve">60624196</t>
  </si>
  <si>
    <t xml:space="preserve">Překližka foliovaná hladká bříza tl. 21 mm, F/F</t>
  </si>
  <si>
    <t xml:space="preserve">č.v.22</t>
  </si>
  <si>
    <t xml:space="preserve">;ztratné 4%; 3,344</t>
  </si>
  <si>
    <t xml:space="preserve">107</t>
  </si>
  <si>
    <t xml:space="preserve">60624192</t>
  </si>
  <si>
    <t xml:space="preserve">Překližka foliovaná hladká bříza tl. 10 mm, F/F</t>
  </si>
  <si>
    <t xml:space="preserve">148,8*0,15</t>
  </si>
  <si>
    <t xml:space="preserve">108</t>
  </si>
  <si>
    <t xml:space="preserve">998762104R00</t>
  </si>
  <si>
    <t xml:space="preserve">Přesun hmot pro tesařské konstrukce, výšky do 36 m</t>
  </si>
  <si>
    <t xml:space="preserve">2,574</t>
  </si>
  <si>
    <t xml:space="preserve">764</t>
  </si>
  <si>
    <t xml:space="preserve">Konstrukce klempířské</t>
  </si>
  <si>
    <t xml:space="preserve">109</t>
  </si>
  <si>
    <t xml:space="preserve">59160889.A3</t>
  </si>
  <si>
    <t xml:space="preserve">Výlez na střechu 80x110 výrobek  výkres č.6 dle PD s osazením</t>
  </si>
  <si>
    <t xml:space="preserve">764_</t>
  </si>
  <si>
    <t xml:space="preserve">764410850R00</t>
  </si>
  <si>
    <t xml:space="preserve">Demontáž oplechování parapetů,rš od 100 do 330 mm</t>
  </si>
  <si>
    <t xml:space="preserve">1,2*9*12</t>
  </si>
  <si>
    <t xml:space="preserve">2,4*6*12</t>
  </si>
  <si>
    <t xml:space="preserve">111</t>
  </si>
  <si>
    <t xml:space="preserve">764410340R00</t>
  </si>
  <si>
    <t xml:space="preserve">Oplechování parapetů-exterierový lakovaný ocelpozinkovaný š.250mm</t>
  </si>
  <si>
    <t xml:space="preserve">302,4</t>
  </si>
  <si>
    <t xml:space="preserve">s plastovými bočnicemi</t>
  </si>
  <si>
    <t xml:space="preserve">112</t>
  </si>
  <si>
    <t xml:space="preserve">764354292R00</t>
  </si>
  <si>
    <t xml:space="preserve">1/K přítlačná lišta rš.50</t>
  </si>
  <si>
    <t xml:space="preserve">25,5</t>
  </si>
  <si>
    <t xml:space="preserve">dle PD</t>
  </si>
  <si>
    <t xml:space="preserve">113</t>
  </si>
  <si>
    <t xml:space="preserve">764354391R00</t>
  </si>
  <si>
    <t xml:space="preserve">2/K krycí lišta rš.150</t>
  </si>
  <si>
    <t xml:space="preserve">114</t>
  </si>
  <si>
    <t xml:space="preserve">764354392R00</t>
  </si>
  <si>
    <t xml:space="preserve">3/K stahovací objímka dl.500</t>
  </si>
  <si>
    <t xml:space="preserve">115</t>
  </si>
  <si>
    <t xml:space="preserve">764323220R00</t>
  </si>
  <si>
    <t xml:space="preserve">4/K oplechování okapů Pz,  rš 250 mm</t>
  </si>
  <si>
    <t xml:space="preserve">5,2</t>
  </si>
  <si>
    <t xml:space="preserve">116</t>
  </si>
  <si>
    <t xml:space="preserve">8/K žlabový kotlík</t>
  </si>
  <si>
    <t xml:space="preserve">117</t>
  </si>
  <si>
    <t xml:space="preserve">764391210R00</t>
  </si>
  <si>
    <t xml:space="preserve">5/K závětrná lišta z Pz plechu, rš 330 mm</t>
  </si>
  <si>
    <t xml:space="preserve">118</t>
  </si>
  <si>
    <t xml:space="preserve">764393210R00</t>
  </si>
  <si>
    <t xml:space="preserve">6/K oplechování stříšky přípojková skříň rš.500</t>
  </si>
  <si>
    <t xml:space="preserve">1,75</t>
  </si>
  <si>
    <t xml:space="preserve">119</t>
  </si>
  <si>
    <t xml:space="preserve">764393292R00</t>
  </si>
  <si>
    <t xml:space="preserve">7/K krycí lišta přípojkové skříně Pz rš 150mm</t>
  </si>
  <si>
    <t xml:space="preserve">120</t>
  </si>
  <si>
    <t xml:space="preserve">764259431R00</t>
  </si>
  <si>
    <t xml:space="preserve">9/K svod kruhový D100</t>
  </si>
  <si>
    <t xml:space="preserve">2,8</t>
  </si>
  <si>
    <t xml:space="preserve">121</t>
  </si>
  <si>
    <t xml:space="preserve">764541410R00</t>
  </si>
  <si>
    <t xml:space="preserve">10/K  koleno soklové D100</t>
  </si>
  <si>
    <t xml:space="preserve">122</t>
  </si>
  <si>
    <t xml:space="preserve">764251602R00</t>
  </si>
  <si>
    <t xml:space="preserve">12/K 6labové čelo hranatého žlabu</t>
  </si>
  <si>
    <t xml:space="preserve">123</t>
  </si>
  <si>
    <t xml:space="preserve">764251631R00</t>
  </si>
  <si>
    <t xml:space="preserve">13/K žlabový hák půlkulaty lakovaný</t>
  </si>
  <si>
    <t xml:space="preserve">124</t>
  </si>
  <si>
    <t xml:space="preserve">764521450R00</t>
  </si>
  <si>
    <t xml:space="preserve">15/K chlič z kruhové trouby</t>
  </si>
  <si>
    <t xml:space="preserve">125</t>
  </si>
  <si>
    <t xml:space="preserve">764211401R00</t>
  </si>
  <si>
    <t xml:space="preserve">Krytina hladká z Ti Zn střechy markýz nad vstupy</t>
  </si>
  <si>
    <t xml:space="preserve">2,4+3,2</t>
  </si>
  <si>
    <t xml:space="preserve">126</t>
  </si>
  <si>
    <t xml:space="preserve">28651131</t>
  </si>
  <si>
    <t xml:space="preserve">11/K podokapní půlkulatý žlab Rš 250</t>
  </si>
  <si>
    <t xml:space="preserve">127</t>
  </si>
  <si>
    <t xml:space="preserve">553442381</t>
  </si>
  <si>
    <t xml:space="preserve">14/K žlabový kotlík hranatý</t>
  </si>
  <si>
    <t xml:space="preserve">128</t>
  </si>
  <si>
    <t xml:space="preserve">764541210R00</t>
  </si>
  <si>
    <t xml:space="preserve">16/K koleno odpadní kruhové roury</t>
  </si>
  <si>
    <t xml:space="preserve">129</t>
  </si>
  <si>
    <t xml:space="preserve">764351201R00</t>
  </si>
  <si>
    <t xml:space="preserve">K/17Žlaby z Pz plechu podokapní čtyřhranné,rš 200 mm</t>
  </si>
  <si>
    <t xml:space="preserve">3,6</t>
  </si>
  <si>
    <t xml:space="preserve">130</t>
  </si>
  <si>
    <t xml:space="preserve">764351917R00</t>
  </si>
  <si>
    <t xml:space="preserve">K/18 žlabové čelo</t>
  </si>
  <si>
    <t xml:space="preserve">131</t>
  </si>
  <si>
    <t xml:space="preserve">764356392R00</t>
  </si>
  <si>
    <t xml:space="preserve">K/19 hák hranatý z nerezové oceli</t>
  </si>
  <si>
    <t xml:space="preserve">132</t>
  </si>
  <si>
    <t xml:space="preserve">764331320R00</t>
  </si>
  <si>
    <t xml:space="preserve">K/20 krycí lišta (markýza)</t>
  </si>
  <si>
    <t xml:space="preserve">133</t>
  </si>
  <si>
    <t xml:space="preserve">764410880R00</t>
  </si>
  <si>
    <t xml:space="preserve">Demontáž oplechování</t>
  </si>
  <si>
    <t xml:space="preserve">25,5+25,5+5,2+105+3,6</t>
  </si>
  <si>
    <t xml:space="preserve">134</t>
  </si>
  <si>
    <t xml:space="preserve">998764104R00</t>
  </si>
  <si>
    <t xml:space="preserve">Přesun hmot pro klempířské konstr., výšky do 36 m</t>
  </si>
  <si>
    <t xml:space="preserve">1,984</t>
  </si>
  <si>
    <t xml:space="preserve">767</t>
  </si>
  <si>
    <t xml:space="preserve">Konstrukce doplňkové stavební (zámečnické)</t>
  </si>
  <si>
    <t xml:space="preserve">135</t>
  </si>
  <si>
    <t xml:space="preserve">767222210R00</t>
  </si>
  <si>
    <t xml:space="preserve">Montáž a dodávka ocelový tenkostěnný profil U 140/60/5,vše žárově zinkováno</t>
  </si>
  <si>
    <t xml:space="preserve">767_</t>
  </si>
  <si>
    <t xml:space="preserve">3,7*24+2,5*24</t>
  </si>
  <si>
    <t xml:space="preserve">úprava čel stropních desek lodžií výkres č.19 včetně přivařených kotev z pásové oceli 50/8/250</t>
  </si>
  <si>
    <t xml:space="preserve">136</t>
  </si>
  <si>
    <t xml:space="preserve">31171802.A</t>
  </si>
  <si>
    <t xml:space="preserve">Kotva chemická - ampule maxima M12</t>
  </si>
  <si>
    <t xml:space="preserve">4*24+4*24</t>
  </si>
  <si>
    <t xml:space="preserve">137</t>
  </si>
  <si>
    <t xml:space="preserve">627991005R00</t>
  </si>
  <si>
    <t xml:space="preserve">Vlepení přířezu  z desek z MV  tl.60mm do U profilu</t>
  </si>
  <si>
    <t xml:space="preserve">138</t>
  </si>
  <si>
    <t xml:space="preserve">767222120R00</t>
  </si>
  <si>
    <t xml:space="preserve">Montáž a dodávka ocelový tenkostěnný profil U 120/60/5mm,žárově zinkovaný</t>
  </si>
  <si>
    <t xml:space="preserve">33,6</t>
  </si>
  <si>
    <t xml:space="preserve">úprava čela stěny mezi lodžiemi výkres č.21</t>
  </si>
  <si>
    <t xml:space="preserve">139</t>
  </si>
  <si>
    <t xml:space="preserve">140</t>
  </si>
  <si>
    <t xml:space="preserve">762114110RT2</t>
  </si>
  <si>
    <t xml:space="preserve">M.konstr.stěn z řez.hraněn.do 120cm2 ocel.spojkami</t>
  </si>
  <si>
    <t xml:space="preserve">33,6*2</t>
  </si>
  <si>
    <t xml:space="preserve">včetně hranolků 30/50mm v rozích</t>
  </si>
  <si>
    <t xml:space="preserve">141</t>
  </si>
  <si>
    <t xml:space="preserve">762222141R00</t>
  </si>
  <si>
    <t xml:space="preserve">Montáž zábradlí rovného, sloupky osově do 1,5 m</t>
  </si>
  <si>
    <t xml:space="preserve">142</t>
  </si>
  <si>
    <t xml:space="preserve">767193802R00</t>
  </si>
  <si>
    <t xml:space="preserve">Demontáž větracích mřížek</t>
  </si>
  <si>
    <t xml:space="preserve">12*6</t>
  </si>
  <si>
    <t xml:space="preserve">143</t>
  </si>
  <si>
    <t xml:space="preserve">767221 R-8</t>
  </si>
  <si>
    <t xml:space="preserve">Montáž a dodávka zábradlí 2550x1100 dvě buňky</t>
  </si>
  <si>
    <t xml:space="preserve">12*2</t>
  </si>
  <si>
    <t xml:space="preserve">dle PD včetně zakrytí mezer ke stěnám a podlaze plechy</t>
  </si>
  <si>
    <t xml:space="preserve">144</t>
  </si>
  <si>
    <t xml:space="preserve">767221 R-9</t>
  </si>
  <si>
    <t xml:space="preserve">Přídavný zasklívací systém s výhybkou 2550x1100</t>
  </si>
  <si>
    <t xml:space="preserve">145</t>
  </si>
  <si>
    <t xml:space="preserve">767221 R-10</t>
  </si>
  <si>
    <t xml:space="preserve">montáž a dodávka  Al.zábradlí 3750x1100 tři buňky</t>
  </si>
  <si>
    <t xml:space="preserve">146</t>
  </si>
  <si>
    <t xml:space="preserve">767222 R-11</t>
  </si>
  <si>
    <t xml:space="preserve">přídavný zasklívací systém s výhybkou 3750x1100</t>
  </si>
  <si>
    <t xml:space="preserve">147</t>
  </si>
  <si>
    <t xml:space="preserve">767584811R00</t>
  </si>
  <si>
    <t xml:space="preserve">Demontáž mřížek-větrací otvory</t>
  </si>
  <si>
    <t xml:space="preserve">148</t>
  </si>
  <si>
    <t xml:space="preserve">641960000R00</t>
  </si>
  <si>
    <t xml:space="preserve">Těsnění  větracích otvorů   PU pěnou</t>
  </si>
  <si>
    <t xml:space="preserve">140*0,10</t>
  </si>
  <si>
    <t xml:space="preserve">cca 100mm jeden otvor</t>
  </si>
  <si>
    <t xml:space="preserve">149</t>
  </si>
  <si>
    <t xml:space="preserve">767711 R-04</t>
  </si>
  <si>
    <t xml:space="preserve">Osazení a dodávka vstuních dveří dle PD 2400x2150</t>
  </si>
  <si>
    <t xml:space="preserve">150</t>
  </si>
  <si>
    <t xml:space="preserve">767711 R-05</t>
  </si>
  <si>
    <t xml:space="preserve">Osazení  a dodávka vstupních dveří zadní vstup dle PD 940x2175</t>
  </si>
  <si>
    <t xml:space="preserve">151</t>
  </si>
  <si>
    <t xml:space="preserve">767311 R-06</t>
  </si>
  <si>
    <t xml:space="preserve">Montáž a dodávka stříšky nad vstupem</t>
  </si>
  <si>
    <t xml:space="preserve">1400/900mm z vrstveného bezpečnostního opakního skla tl.20mm na nerezových táhlech a terčích včetně kotevních bloků do ETICS</t>
  </si>
  <si>
    <t xml:space="preserve">152</t>
  </si>
  <si>
    <t xml:space="preserve">998767104R00</t>
  </si>
  <si>
    <t xml:space="preserve">Přesun hmot pro zámečnické konstr., výšky do 36 m</t>
  </si>
  <si>
    <t xml:space="preserve">10,84</t>
  </si>
  <si>
    <t xml:space="preserve">771</t>
  </si>
  <si>
    <t xml:space="preserve">Podlahy z dlaždic</t>
  </si>
  <si>
    <t xml:space="preserve">153</t>
  </si>
  <si>
    <t xml:space="preserve">771575104R00</t>
  </si>
  <si>
    <t xml:space="preserve">Montáž podlah keram.,režné hladké, tmel, s úpravou podkladu</t>
  </si>
  <si>
    <t xml:space="preserve">771_</t>
  </si>
  <si>
    <t xml:space="preserve">77_</t>
  </si>
  <si>
    <t xml:space="preserve">3,75*1,24*12*2</t>
  </si>
  <si>
    <t xml:space="preserve">lodžie dle PD</t>
  </si>
  <si>
    <t xml:space="preserve">2,55*1,24*12*2</t>
  </si>
  <si>
    <t xml:space="preserve">3*0,9</t>
  </si>
  <si>
    <t xml:space="preserve">vstup</t>
  </si>
  <si>
    <t xml:space="preserve">;ztratné 6%; 11,41128</t>
  </si>
  <si>
    <t xml:space="preserve">154</t>
  </si>
  <si>
    <t xml:space="preserve">771411014R00</t>
  </si>
  <si>
    <t xml:space="preserve">Obklad soklíků pórov.rovných do MC,20x10,H 10 cm</t>
  </si>
  <si>
    <t xml:space="preserve">(3,75+1,24+1,24)*12*2</t>
  </si>
  <si>
    <t xml:space="preserve">(2,55+1,24+1,24)*12*2</t>
  </si>
  <si>
    <t xml:space="preserve">(0,9+0,9+0,35+0,35)</t>
  </si>
  <si>
    <t xml:space="preserve">hlavní vstup</t>
  </si>
  <si>
    <t xml:space="preserve">155</t>
  </si>
  <si>
    <t xml:space="preserve">597642060</t>
  </si>
  <si>
    <t xml:space="preserve">Dlažba keramická plný střep protiskluzná  matná 200/200/9 mm</t>
  </si>
  <si>
    <t xml:space="preserve">27,2</t>
  </si>
  <si>
    <t xml:space="preserve">sokl</t>
  </si>
  <si>
    <t xml:space="preserve">201,599</t>
  </si>
  <si>
    <t xml:space="preserve">plochy dlažby dle PD</t>
  </si>
  <si>
    <t xml:space="preserve">;ztratné 6%; 13,72794</t>
  </si>
  <si>
    <t xml:space="preserve">156</t>
  </si>
  <si>
    <t xml:space="preserve">781670116RA0</t>
  </si>
  <si>
    <t xml:space="preserve">Obklad parapetu,v suterénu</t>
  </si>
  <si>
    <t xml:space="preserve">1,2*7+1,8*7</t>
  </si>
  <si>
    <t xml:space="preserve">157</t>
  </si>
  <si>
    <t xml:space="preserve">771101R-02</t>
  </si>
  <si>
    <t xml:space="preserve">Systém pro zateplení lodžií Multi Plus</t>
  </si>
  <si>
    <t xml:space="preserve">201,599-2,7</t>
  </si>
  <si>
    <t xml:space="preserve">dle technického listu-stěrková a lepící hmota, deska EPS 150 stěrková lepící hmota s armovací tkaninou, penetrace, systémová okapnice, těsnící páska BUTIL, lepící tmel dle certifikátu, PCIPecilastik, těsnící páska, hydroizolační stěrka, difůzní páska,lepící tmel, polyethylenový provazec spárovací hmota, tmel PCI Elritan 140</t>
  </si>
  <si>
    <t xml:space="preserve">158</t>
  </si>
  <si>
    <t xml:space="preserve">998771104R00</t>
  </si>
  <si>
    <t xml:space="preserve">Přesun hmot pro podlahy z dlaždic, výšky do 36 m</t>
  </si>
  <si>
    <t xml:space="preserve">7,303</t>
  </si>
  <si>
    <t xml:space="preserve">783</t>
  </si>
  <si>
    <t xml:space="preserve">Nátěry</t>
  </si>
  <si>
    <t xml:space="preserve">159</t>
  </si>
  <si>
    <t xml:space="preserve">783222941RT1</t>
  </si>
  <si>
    <t xml:space="preserve">Údržba, nátěr syntetický kovových konstr.samozákladující barva</t>
  </si>
  <si>
    <t xml:space="preserve">783_</t>
  </si>
  <si>
    <t xml:space="preserve">78_</t>
  </si>
  <si>
    <t xml:space="preserve">1*2*2</t>
  </si>
  <si>
    <t xml:space="preserve">dveře strojovny</t>
  </si>
  <si>
    <t xml:space="preserve">1,35*1,5</t>
  </si>
  <si>
    <t xml:space="preserve">dvířka skříně NN</t>
  </si>
  <si>
    <t xml:space="preserve">160</t>
  </si>
  <si>
    <t xml:space="preserve">783425150R00</t>
  </si>
  <si>
    <t xml:space="preserve">Nátěr syntetický potrubí do DN 100 mm  Z + 2x</t>
  </si>
  <si>
    <t xml:space="preserve">anténní stožár s odrezivěním a očištěním</t>
  </si>
  <si>
    <t xml:space="preserve">161</t>
  </si>
  <si>
    <t xml:space="preserve">783424140R00</t>
  </si>
  <si>
    <t xml:space="preserve">Nátěr syntetický potrubí do DN 50 mm  Z + 2x</t>
  </si>
  <si>
    <t xml:space="preserve">zábradlí rampy hlavního vstupu</t>
  </si>
  <si>
    <t xml:space="preserve">1,20*2</t>
  </si>
  <si>
    <t xml:space="preserve">zábradlí u výlezu na střechu s odrezivěním a očištěním</t>
  </si>
  <si>
    <t xml:space="preserve">Hodinové zúčtovací sazby (HZS)</t>
  </si>
  <si>
    <t xml:space="preserve">162</t>
  </si>
  <si>
    <t xml:space="preserve">900      R03</t>
  </si>
  <si>
    <t xml:space="preserve">HZS</t>
  </si>
  <si>
    <t xml:space="preserve">h</t>
  </si>
  <si>
    <t xml:space="preserve">90_</t>
  </si>
  <si>
    <t xml:space="preserve">9_</t>
  </si>
  <si>
    <t xml:space="preserve">Doplňující konstrukce a práce na pozemních komunikacích a zpevněných plochách</t>
  </si>
  <si>
    <t xml:space="preserve">163</t>
  </si>
  <si>
    <t xml:space="preserve">916531111RT7</t>
  </si>
  <si>
    <t xml:space="preserve">Osazení záhon.obrubníků do lože z C12/15 bez opěry</t>
  </si>
  <si>
    <t xml:space="preserve">91_</t>
  </si>
  <si>
    <t xml:space="preserve">včetně materiálu,1000/250/80 šedý odstín,(BEST LINEA)</t>
  </si>
  <si>
    <t xml:space="preserve">Lešení a stavební výtahy</t>
  </si>
  <si>
    <t xml:space="preserve">164</t>
  </si>
  <si>
    <t xml:space="preserve">941941042R00</t>
  </si>
  <si>
    <t xml:space="preserve">Montáž lešení leh.řad.s podlahami,š.1,2 m, H 30 m</t>
  </si>
  <si>
    <t xml:space="preserve">94_</t>
  </si>
  <si>
    <t xml:space="preserve">(29,5+1+1)*2*36</t>
  </si>
  <si>
    <t xml:space="preserve">(14,5+1+1)*2*36</t>
  </si>
  <si>
    <t xml:space="preserve">165</t>
  </si>
  <si>
    <t xml:space="preserve">941941292R00</t>
  </si>
  <si>
    <t xml:space="preserve">Příplatek za každý měsíc použití lešení k pol.1042</t>
  </si>
  <si>
    <t xml:space="preserve">3456*5</t>
  </si>
  <si>
    <t xml:space="preserve">166</t>
  </si>
  <si>
    <t xml:space="preserve">941941842R00</t>
  </si>
  <si>
    <t xml:space="preserve">Demontáž lešení leh.řad.s podlahami,š.1,2 m,H 30 m</t>
  </si>
  <si>
    <t xml:space="preserve">3456</t>
  </si>
  <si>
    <t xml:space="preserve">167</t>
  </si>
  <si>
    <t xml:space="preserve">944944011R00</t>
  </si>
  <si>
    <t xml:space="preserve">Montáž ochranné sítě z umělých vláken</t>
  </si>
  <si>
    <t xml:space="preserve">168</t>
  </si>
  <si>
    <t xml:space="preserve">944944033R00</t>
  </si>
  <si>
    <t xml:space="preserve">Příplatek za každý měsíc použití sítí k pol. 4013</t>
  </si>
  <si>
    <t xml:space="preserve">169</t>
  </si>
  <si>
    <t xml:space="preserve">944945013R00</t>
  </si>
  <si>
    <t xml:space="preserve">Montáž záchytné stříšky H 4,5 m, šířky nad 2 m</t>
  </si>
  <si>
    <t xml:space="preserve">170</t>
  </si>
  <si>
    <t xml:space="preserve">944945813R00</t>
  </si>
  <si>
    <t xml:space="preserve">Demontáž záchytné stříšky H 4,5 m, šířky nad 2 m</t>
  </si>
  <si>
    <t xml:space="preserve">171</t>
  </si>
  <si>
    <t xml:space="preserve">998009101R00</t>
  </si>
  <si>
    <t xml:space="preserve">Přesun hmot lešení samostatně budovaného</t>
  </si>
  <si>
    <t xml:space="preserve">80,576</t>
  </si>
  <si>
    <t xml:space="preserve">Různé dokončovací konstrukce a práce na pozemních stavbách</t>
  </si>
  <si>
    <t xml:space="preserve">172</t>
  </si>
  <si>
    <t xml:space="preserve">953941511R00</t>
  </si>
  <si>
    <t xml:space="preserve">Osazení  a dodávka věšáku na prádlo dle PD</t>
  </si>
  <si>
    <t xml:space="preserve">95_</t>
  </si>
  <si>
    <t xml:space="preserve">hliníkový lodžiový sušák na prádlo s pohyblivými jezdci pro minimálně 5 šňůr,včetně kotev pro zateplené stěny</t>
  </si>
  <si>
    <t xml:space="preserve">173</t>
  </si>
  <si>
    <t xml:space="preserve">953761 R-06</t>
  </si>
  <si>
    <t xml:space="preserve">čtyřkomorová hnízdní budka pro rorýse</t>
  </si>
  <si>
    <t xml:space="preserve">174</t>
  </si>
  <si>
    <t xml:space="preserve">5534301661</t>
  </si>
  <si>
    <t xml:space="preserve">Větrací mřížka 150/150mm se síťkou s osazením,nerez</t>
  </si>
  <si>
    <t xml:space="preserve">5*12</t>
  </si>
  <si>
    <t xml:space="preserve">kovová</t>
  </si>
  <si>
    <t xml:space="preserve">175</t>
  </si>
  <si>
    <t xml:space="preserve">952901114R00</t>
  </si>
  <si>
    <t xml:space="preserve">Vyčištění budov o výšce podlaží nad 4 m</t>
  </si>
  <si>
    <t xml:space="preserve">236+150</t>
  </si>
  <si>
    <t xml:space="preserve">176</t>
  </si>
  <si>
    <t xml:space="preserve">999281112R00</t>
  </si>
  <si>
    <t xml:space="preserve">Přesun hmot pro opravy a údržbu do výšky 36 m</t>
  </si>
  <si>
    <t xml:space="preserve">7,648+0,311+0,189+2,171+0,423+0,290</t>
  </si>
  <si>
    <t xml:space="preserve">Bourání konstrukcí</t>
  </si>
  <si>
    <t xml:space="preserve">177</t>
  </si>
  <si>
    <t xml:space="preserve">968072357R00</t>
  </si>
  <si>
    <t xml:space="preserve">Vybourání plast. oken zdvojených nad 4 m2</t>
  </si>
  <si>
    <t xml:space="preserve">96_</t>
  </si>
  <si>
    <t xml:space="preserve">1,2*0,6</t>
  </si>
  <si>
    <t xml:space="preserve">178</t>
  </si>
  <si>
    <t xml:space="preserve">968072455R00</t>
  </si>
  <si>
    <t xml:space="preserve">Vybourání dveří se zárubněmi</t>
  </si>
  <si>
    <t xml:space="preserve">0,95*2,175</t>
  </si>
  <si>
    <t xml:space="preserve">0,95*1,85</t>
  </si>
  <si>
    <t xml:space="preserve">2,4*2,15</t>
  </si>
  <si>
    <t xml:space="preserve">Prorážení otvorů a ostatní bourací práce</t>
  </si>
  <si>
    <t xml:space="preserve">179</t>
  </si>
  <si>
    <t xml:space="preserve">970051130R00</t>
  </si>
  <si>
    <t xml:space="preserve">Vrtání jádrové do ŽB do D 130 mm</t>
  </si>
  <si>
    <t xml:space="preserve">97_</t>
  </si>
  <si>
    <t xml:space="preserve">12*0,28</t>
  </si>
  <si>
    <t xml:space="preserve">vyvrtání větracích otvorů profilu 120mm v obvodovém panelu</t>
  </si>
  <si>
    <t xml:space="preserve">M21</t>
  </si>
  <si>
    <t xml:space="preserve">Elektromontáže</t>
  </si>
  <si>
    <t xml:space="preserve">180</t>
  </si>
  <si>
    <t xml:space="preserve">210100381R00</t>
  </si>
  <si>
    <t xml:space="preserve">Kontrola stavu a úprava napojovacího bodu</t>
  </si>
  <si>
    <t xml:space="preserve">hod</t>
  </si>
  <si>
    <t xml:space="preserve">M21_</t>
  </si>
  <si>
    <t xml:space="preserve">181</t>
  </si>
  <si>
    <t xml:space="preserve">210191503R00</t>
  </si>
  <si>
    <t xml:space="preserve">přípojnice hlavního pospojení</t>
  </si>
  <si>
    <t xml:space="preserve">včetně materiálu</t>
  </si>
  <si>
    <t xml:space="preserve">182</t>
  </si>
  <si>
    <t xml:space="preserve">210010003RU2</t>
  </si>
  <si>
    <t xml:space="preserve">Trubka ohebná pod omítku, vnější průměr 23mm</t>
  </si>
  <si>
    <t xml:space="preserve">290</t>
  </si>
  <si>
    <t xml:space="preserve">183</t>
  </si>
  <si>
    <t xml:space="preserve">210010004RU2</t>
  </si>
  <si>
    <t xml:space="preserve">Trubka ohebná pod omítku, vnější průměr 36 mm</t>
  </si>
  <si>
    <t xml:space="preserve">184</t>
  </si>
  <si>
    <t xml:space="preserve">210010001R00</t>
  </si>
  <si>
    <t xml:space="preserve">Trubka ohebná pod omítku, d29 uložená pevně</t>
  </si>
  <si>
    <t xml:space="preserve">250</t>
  </si>
  <si>
    <t xml:space="preserve">185</t>
  </si>
  <si>
    <t xml:space="preserve">210010324RT2</t>
  </si>
  <si>
    <t xml:space="preserve">Krabice přístrojová KP, 68/1</t>
  </si>
  <si>
    <t xml:space="preserve">186</t>
  </si>
  <si>
    <t xml:space="preserve">210010311RT1</t>
  </si>
  <si>
    <t xml:space="preserve">Krabice univerzální KU,  68/2-1903</t>
  </si>
  <si>
    <t xml:space="preserve">187</t>
  </si>
  <si>
    <t xml:space="preserve">210010323RT1</t>
  </si>
  <si>
    <t xml:space="preserve">Krabice odbočná KO, se zapojením, čtvercová</t>
  </si>
  <si>
    <t xml:space="preserve">188</t>
  </si>
  <si>
    <t xml:space="preserve">210010323RT3</t>
  </si>
  <si>
    <t xml:space="preserve">189</t>
  </si>
  <si>
    <t xml:space="preserve">210290R-01</t>
  </si>
  <si>
    <t xml:space="preserve">Úprava stávajících rozvodů</t>
  </si>
  <si>
    <t xml:space="preserve">190</t>
  </si>
  <si>
    <t xml:space="preserve">210020503R00</t>
  </si>
  <si>
    <t xml:space="preserve">Žlab kabelový +kolena spoj.materiál 65/50mm</t>
  </si>
  <si>
    <t xml:space="preserve">191</t>
  </si>
  <si>
    <t xml:space="preserve">210800505RT1</t>
  </si>
  <si>
    <t xml:space="preserve">Vodič H07V-U (CY) 2,0 mm2 uložený v trubkách</t>
  </si>
  <si>
    <t xml:space="preserve">490</t>
  </si>
  <si>
    <t xml:space="preserve">192</t>
  </si>
  <si>
    <t xml:space="preserve">210800105RT1</t>
  </si>
  <si>
    <t xml:space="preserve">Kabel CYKY 750 V 3x1,5 mm2 uložený pod omítkou</t>
  </si>
  <si>
    <t xml:space="preserve">950</t>
  </si>
  <si>
    <t xml:space="preserve">193</t>
  </si>
  <si>
    <t xml:space="preserve">210100001R00</t>
  </si>
  <si>
    <t xml:space="preserve">Ukončení vodičů v rozvaděči + zapojení do 2,5 mm2</t>
  </si>
  <si>
    <t xml:space="preserve">422</t>
  </si>
  <si>
    <t xml:space="preserve">194</t>
  </si>
  <si>
    <t xml:space="preserve">210220321R00</t>
  </si>
  <si>
    <t xml:space="preserve">Svorka na potrubí Bernard, včetně Cu pásku</t>
  </si>
  <si>
    <t xml:space="preserve">195</t>
  </si>
  <si>
    <t xml:space="preserve">210100034R00</t>
  </si>
  <si>
    <t xml:space="preserve">Montáž pospojení</t>
  </si>
  <si>
    <t xml:space="preserve">196</t>
  </si>
  <si>
    <t xml:space="preserve">Sada pospojení</t>
  </si>
  <si>
    <t xml:space="preserve">197</t>
  </si>
  <si>
    <t xml:space="preserve">210110001RT2</t>
  </si>
  <si>
    <t xml:space="preserve">Spínač nástěnný jednopól.- řaz. 1, obyč.prostředí</t>
  </si>
  <si>
    <t xml:space="preserve">198</t>
  </si>
  <si>
    <t xml:space="preserve">210110003RT1</t>
  </si>
  <si>
    <t xml:space="preserve">Spínač nástěnný seriový - řaz. 5, obyč.prostředí</t>
  </si>
  <si>
    <t xml:space="preserve">199</t>
  </si>
  <si>
    <t xml:space="preserve">210205R-05</t>
  </si>
  <si>
    <t xml:space="preserve">Koordinace vypnutí stavby ,prozatimní napájení staveništního rozvaděče</t>
  </si>
  <si>
    <t xml:space="preserve">200</t>
  </si>
  <si>
    <t xml:space="preserve">210205R-06</t>
  </si>
  <si>
    <t xml:space="preserve">práce ve výšce</t>
  </si>
  <si>
    <t xml:space="preserve">201</t>
  </si>
  <si>
    <t xml:space="preserve">210205105R00</t>
  </si>
  <si>
    <t xml:space="preserve">Ekologická likvidace odpadů</t>
  </si>
  <si>
    <t xml:space="preserve">202</t>
  </si>
  <si>
    <t xml:space="preserve">210220002RT2</t>
  </si>
  <si>
    <t xml:space="preserve">Vedení uzemňovací na povrchu FeZn D 10 mm</t>
  </si>
  <si>
    <t xml:space="preserve">203</t>
  </si>
  <si>
    <t xml:space="preserve">210220301R00</t>
  </si>
  <si>
    <t xml:space="preserve">Svorka hromosvodová do 4 šroubů /SS, SZ, SO/</t>
  </si>
  <si>
    <t xml:space="preserve">204</t>
  </si>
  <si>
    <t xml:space="preserve">205</t>
  </si>
  <si>
    <t xml:space="preserve">210220001RT1</t>
  </si>
  <si>
    <t xml:space="preserve">Vedení uzemňovací na povrchu FeZn do 120 mm2</t>
  </si>
  <si>
    <t xml:space="preserve">včetně pásku</t>
  </si>
  <si>
    <t xml:space="preserve">206</t>
  </si>
  <si>
    <t xml:space="preserve">210220010R00</t>
  </si>
  <si>
    <t xml:space="preserve">podružný materiál</t>
  </si>
  <si>
    <t xml:space="preserve">207</t>
  </si>
  <si>
    <t xml:space="preserve">210220101RT3</t>
  </si>
  <si>
    <t xml:space="preserve">Vodiče svodové FeZn D do 10,Al 10,Cu 8 +podpěry</t>
  </si>
  <si>
    <t xml:space="preserve">580</t>
  </si>
  <si>
    <t xml:space="preserve">208</t>
  </si>
  <si>
    <t xml:space="preserve">910      R00</t>
  </si>
  <si>
    <t xml:space="preserve">Hzs - celková prohlídka el.rozvodu a zařízení do 2mil</t>
  </si>
  <si>
    <t xml:space="preserve">209</t>
  </si>
  <si>
    <t xml:space="preserve">905      R01</t>
  </si>
  <si>
    <t xml:space="preserve">Hzs- elektrorevize provoz.souboru a st.obj.</t>
  </si>
  <si>
    <t xml:space="preserve">210</t>
  </si>
  <si>
    <t xml:space="preserve">34561406</t>
  </si>
  <si>
    <t xml:space="preserve">Svorka WAGO 273-105 5x2,5</t>
  </si>
  <si>
    <t xml:space="preserve">211</t>
  </si>
  <si>
    <t xml:space="preserve">35441846</t>
  </si>
  <si>
    <t xml:space="preserve">Štítek označení</t>
  </si>
  <si>
    <t xml:space="preserve">212</t>
  </si>
  <si>
    <t xml:space="preserve">283551501</t>
  </si>
  <si>
    <t xml:space="preserve">Páska stahovací kabelová</t>
  </si>
  <si>
    <t xml:space="preserve">100kus</t>
  </si>
  <si>
    <t xml:space="preserve">213</t>
  </si>
  <si>
    <t xml:space="preserve">210800101RT1</t>
  </si>
  <si>
    <t xml:space="preserve">Kabel CYKY 750 V 2x1,5 mm2 uložený pod omítkou</t>
  </si>
  <si>
    <t xml:space="preserve">214</t>
  </si>
  <si>
    <t xml:space="preserve">215</t>
  </si>
  <si>
    <t xml:space="preserve">210220212RT2</t>
  </si>
  <si>
    <t xml:space="preserve">Tyč jímací s upev. na střeše 1,5m vč.svorky</t>
  </si>
  <si>
    <t xml:space="preserve">216</t>
  </si>
  <si>
    <t xml:space="preserve">210220211R00</t>
  </si>
  <si>
    <t xml:space="preserve">Jímač tyčový d=2,6 vč.stojanu a příslušenství</t>
  </si>
  <si>
    <t xml:space="preserve">217</t>
  </si>
  <si>
    <t xml:space="preserve">Svorka hromosvodová zkušební v krabicido 2 šroubů /SS, SZ, SO/</t>
  </si>
  <si>
    <t xml:space="preserve">218</t>
  </si>
  <si>
    <t xml:space="preserve">210130401R00</t>
  </si>
  <si>
    <t xml:space="preserve">Relé časové 8min/230/12V</t>
  </si>
  <si>
    <t xml:space="preserve">219</t>
  </si>
  <si>
    <t xml:space="preserve">210220R-20</t>
  </si>
  <si>
    <t xml:space="preserve">Sonda přítomnosti základového zemniče</t>
  </si>
  <si>
    <t xml:space="preserve">220</t>
  </si>
  <si>
    <t xml:space="preserve">900      RT3</t>
  </si>
  <si>
    <t xml:space="preserve">HZS-stavební přípomoce-zához rýh pro vodiče,hrubá a finální štuková</t>
  </si>
  <si>
    <t xml:space="preserve">221</t>
  </si>
  <si>
    <t xml:space="preserve">904      R01</t>
  </si>
  <si>
    <t xml:space="preserve">Hzs-oživení a parametrizace el.části VZT</t>
  </si>
  <si>
    <t xml:space="preserve">70 ks</t>
  </si>
  <si>
    <t xml:space="preserve">222</t>
  </si>
  <si>
    <t xml:space="preserve">952901111R00</t>
  </si>
  <si>
    <t xml:space="preserve">Vyčištění budov o výšce podlaží do 4 m</t>
  </si>
  <si>
    <t xml:space="preserve">úklid po elektromontážích</t>
  </si>
  <si>
    <t xml:space="preserve">M22</t>
  </si>
  <si>
    <t xml:space="preserve">Montáže sdělovací a zabezpečovací techniky</t>
  </si>
  <si>
    <t xml:space="preserve">223</t>
  </si>
  <si>
    <t xml:space="preserve">222323322R00</t>
  </si>
  <si>
    <t xml:space="preserve">Tlačítkové tablo s klávesnicí a čtečkou do zdi</t>
  </si>
  <si>
    <t xml:space="preserve">M22_</t>
  </si>
  <si>
    <t xml:space="preserve">montáž</t>
  </si>
  <si>
    <t xml:space="preserve">224</t>
  </si>
  <si>
    <t xml:space="preserve">229850161R00</t>
  </si>
  <si>
    <t xml:space="preserve">Demontáž skříňe zvonků s odpojením</t>
  </si>
  <si>
    <t xml:space="preserve">S</t>
  </si>
  <si>
    <t xml:space="preserve">Přesuny sutí</t>
  </si>
  <si>
    <t xml:space="preserve">225</t>
  </si>
  <si>
    <t xml:space="preserve">979013112R00</t>
  </si>
  <si>
    <t xml:space="preserve">Svislá doprava vybouraných hmot na H do 3,5 m</t>
  </si>
  <si>
    <t xml:space="preserve">S_</t>
  </si>
  <si>
    <t xml:space="preserve">26,948</t>
  </si>
  <si>
    <t xml:space="preserve">226</t>
  </si>
  <si>
    <t xml:space="preserve">979013119R00</t>
  </si>
  <si>
    <t xml:space="preserve">Příplatek k hmotám za každých dalších 3,5 m výšky</t>
  </si>
  <si>
    <t xml:space="preserve">10*26,948</t>
  </si>
  <si>
    <t xml:space="preserve">227</t>
  </si>
  <si>
    <t xml:space="preserve">979081111R00</t>
  </si>
  <si>
    <t xml:space="preserve">Odvoz suti a vybour. hmot na skládku do 1 km</t>
  </si>
  <si>
    <t xml:space="preserve">228</t>
  </si>
  <si>
    <t xml:space="preserve">979081121R00</t>
  </si>
  <si>
    <t xml:space="preserve">Příplatek k odvozu za každý další 1 km</t>
  </si>
  <si>
    <t xml:space="preserve">26,3948</t>
  </si>
  <si>
    <t xml:space="preserve">EKO SERVIS VDF</t>
  </si>
  <si>
    <t xml:space="preserve">229</t>
  </si>
  <si>
    <t xml:space="preserve">979094211R00</t>
  </si>
  <si>
    <t xml:space="preserve">Nakládání nebo překládání vybourané suti</t>
  </si>
  <si>
    <t xml:space="preserve">230</t>
  </si>
  <si>
    <t xml:space="preserve">979990111R00</t>
  </si>
  <si>
    <t xml:space="preserve">Poplatek za uložení suti -  skupina odpadu 170103</t>
  </si>
  <si>
    <t xml:space="preserve">Celkem:</t>
  </si>
  <si>
    <t xml:space="preserve">Poznámka:</t>
  </si>
  <si>
    <t xml:space="preserve">Slepý stavební rozpočet - rekapitulace</t>
  </si>
  <si>
    <t xml:space="preserve">Náklady (Kč) - dodávka</t>
  </si>
  <si>
    <t xml:space="preserve">Náklady (Kč) - Montáž</t>
  </si>
  <si>
    <t xml:space="preserve">Náklady (Kč) - celkem</t>
  </si>
  <si>
    <t xml:space="preserve">T</t>
  </si>
  <si>
    <t xml:space="preserve">Krycí list slepého rozpočtu</t>
  </si>
  <si>
    <t xml:space="preserve">IČO/DIČ: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</si>
  <si>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</si>
  <si>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</si>
  <si>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</si>
  <si>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</si>
  <si>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</si>
  <si>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</si>
  <si>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</si>
  <si>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</si>
  <si>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</si>
  <si>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</si>
  <si>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</si>
  <si>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</si>
  <si>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</si>
  <si>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</si>
  <si>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</si>
  <si>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</si>
  <si>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"M"</t>
  </si>
  <si>
    <t xml:space="preserve">Ostatní</t>
  </si>
  <si>
    <t xml:space="preserve">NUS z rozpočtu</t>
  </si>
  <si>
    <t xml:space="preserve">Ostatní materiál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</si>
  <si>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</si>
  <si>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</si>
  <si>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</si>
  <si>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</si>
  <si>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</si>
  <si>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</si>
  <si>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VORN celkem</t>
  </si>
  <si>
    <t xml:space="preserve">VORN celkem z obj.</t>
  </si>
  <si>
    <t xml:space="preserve">Základ 0%</t>
  </si>
  <si>
    <t xml:space="preserve">Základ 12%</t>
  </si>
  <si>
    <t xml:space="preserve">DPH 12%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</si>
  <si>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</si>
  <si>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</si>
  <si>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</si>
  <si>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</si>
  <si>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Projektant</t>
  </si>
  <si>
    <t xml:space="preserve">Objednatel</t>
  </si>
  <si>
    <t xml:space="preserve">Zhotovitel</t>
  </si>
  <si>
    <t xml:space="preserve">Datum, razítko a podpis</t>
  </si>
  <si>
    <t xml:space="preserve">Vedlejší a ostatní rozpočtové náklady</t>
  </si>
  <si>
    <t xml:space="preserve">Vedlejší rozpočtové náklady VRN</t>
  </si>
  <si>
    <t xml:space="preserve">Doplňkové náklady DN</t>
  </si>
  <si>
    <t xml:space="preserve">Kč</t>
  </si>
  <si>
    <t xml:space="preserve">%</t>
  </si>
  <si>
    <t xml:space="preserve">Základna</t>
  </si>
  <si>
    <t xml:space="preserve">Celkem DN</t>
  </si>
  <si>
    <t xml:space="preserve">Celkem NUS</t>
  </si>
  <si>
    <t xml:space="preserve">Celkem VRN</t>
  </si>
  <si>
    <t xml:space="preserve">Ostatní rozpočtové náklady ORN</t>
  </si>
  <si>
    <t xml:space="preserve">Ostatní rozpočtové náklady (ORN)</t>
  </si>
  <si>
    <t xml:space="preserve">Celkem ORN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</si>
</sst>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/mm/yyyy"/>
    <numFmt numFmtId="167" formatCode="General"/>
    <numFmt numFmtId="168" formatCode="0"/>
  </numFmts>
  <fonts count="14">
    <font>
      <sz val="11"/>
      <name val="Calibri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sz val="10"/>
      <color rgb="FF000000"/>
      <name val="Arial"/>
      <family val="0"/>
      <charset val="238"/>
    </font>
    <font>
      <i val="true"/>
      <sz val="10"/>
      <color rgb="FF000000"/>
      <name val="Arial"/>
      <family val="0"/>
      <charset val="238"/>
    </font>
    <font>
      <i val="true"/>
      <sz val="8"/>
      <color rgb="FF000000"/>
      <name val="Arial"/>
      <family val="0"/>
      <charset val="238"/>
    </font>
    <font>
      <b val="true"/>
      <sz val="18"/>
      <color rgb="FF000000"/>
      <name val="Arial"/>
      <family val="0"/>
      <charset val="238"/>
    </font>
    <font>
      <b val="true"/>
      <sz val="20"/>
      <color rgb="FF000000"/>
      <name val="Arial"/>
      <family val="0"/>
      <charset val="238"/>
    </font>
    <font>
      <b val="true"/>
      <sz val="11"/>
      <color rgb="FF000000"/>
      <name val="Arial"/>
      <family val="0"/>
      <charset val="238"/>
    </font>
    <font>
      <b val="true"/>
      <sz val="12"/>
      <color rgb="FF000000"/>
      <name val="Arial"/>
      <family val="0"/>
      <charset val="238"/>
    </font>
    <font>
      <sz val="12"/>
      <color rgb="FF00000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6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2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3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2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2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2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2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2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2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3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3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3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0" borderId="34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2</xdr:col>
      <xdr:colOff>61920</xdr:colOff>
      <xdr:row>0</xdr:row>
      <xdr:rowOff>666360</xdr:rowOff>
    </xdr:to>
    <xdr:pic>
      <xdr:nvPicPr>
        <xdr:cNvPr id="0" name="Obrázek 1" descr=""/>
        <xdr:cNvPicPr/>
      </xdr:nvPicPr>
      <xdr:blipFill>
        <a:blip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21960</xdr:colOff>
      <xdr:row>0</xdr:row>
      <xdr:rowOff>666360</xdr:rowOff>
    </xdr:to>
    <xdr:pic>
      <xdr:nvPicPr>
        <xdr:cNvPr id="1" name="Obrázek 1" descr=""/>
        <xdr:cNvPicPr/>
      </xdr:nvPicPr>
      <xdr:blipFill>
        <a:blip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Slep&#253;%20rozpo&#269;et_BD%203014_verze%202024_04_29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BX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34" activePane="bottomLeft" state="frozen"/>
      <selection pane="topLeft" activeCell="A1" activeCellId="0" sqref="A1"/>
      <selection pane="bottomLeft" activeCell="G10" activeCellId="0" sqref="G10"/>
    </sheetView>
  </sheetViews>
  <sheetFormatPr defaultColWidth="12.1484375" defaultRowHeight="15" zeroHeight="false" outlineLevelRow="0" outlineLevelCol="0"/>
  <cols>
    <col collapsed="false" customWidth="true" hidden="false" outlineLevel="0" max="1" min="1" style="0" width="4"/>
    <col collapsed="false" customWidth="true" hidden="false" outlineLevel="0" max="2" min="2" style="0" width="17.86"/>
    <col collapsed="false" customWidth="true" hidden="false" outlineLevel="0" max="3" min="3" style="0" width="45.48"/>
    <col collapsed="false" customWidth="true" hidden="false" outlineLevel="0" max="4" min="4" style="0" width="53.4"/>
    <col collapsed="false" customWidth="true" hidden="false" outlineLevel="0" max="5" min="5" style="0" width="6.85"/>
    <col collapsed="false" customWidth="true" hidden="false" outlineLevel="0" max="6" min="6" style="0" width="12.86"/>
    <col collapsed="false" customWidth="true" hidden="false" outlineLevel="0" max="7" min="7" style="0" width="12"/>
    <col collapsed="false" customWidth="true" hidden="false" outlineLevel="0" max="10" min="8" style="0" width="15.71"/>
    <col collapsed="false" customWidth="true" hidden="false" outlineLevel="0" max="11" min="11" style="0" width="13.42"/>
    <col collapsed="false" customWidth="false" hidden="true" outlineLevel="0" max="75" min="25" style="0" width="12.15"/>
    <col collapsed="false" customWidth="true" hidden="true" outlineLevel="0" max="76" min="76" style="0" width="78.57"/>
    <col collapsed="false" customWidth="false" hidden="true" outlineLevel="0" max="78" min="77" style="0" width="12.15"/>
  </cols>
  <sheetData>
    <row r="1" customFormat="false" ht="41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AS1" s="2" t="n">
        <f aca="false">SUM(AJ1:AJ2)</f>
        <v>0</v>
      </c>
      <c r="AT1" s="2" t="n">
        <f aca="false">SUM(AK1:AK2)</f>
        <v>0</v>
      </c>
      <c r="AU1" s="2" t="n">
        <f aca="false">SUM(AL1:AL2)</f>
        <v>0</v>
      </c>
    </row>
    <row r="2" customFormat="false" ht="15" hidden="false" customHeight="true" outlineLevel="0" collapsed="false">
      <c r="A2" s="3" t="s">
        <v>1</v>
      </c>
      <c r="B2" s="3"/>
      <c r="C2" s="4" t="s">
        <v>2</v>
      </c>
      <c r="D2" s="4"/>
      <c r="E2" s="5" t="s">
        <v>3</v>
      </c>
      <c r="F2" s="5"/>
      <c r="G2" s="5" t="s">
        <v>4</v>
      </c>
      <c r="H2" s="6" t="s">
        <v>5</v>
      </c>
      <c r="I2" s="7" t="s">
        <v>6</v>
      </c>
      <c r="J2" s="7"/>
      <c r="K2" s="7"/>
    </row>
    <row r="3" customFormat="false" ht="15" hidden="false" customHeight="false" outlineLevel="0" collapsed="false">
      <c r="A3" s="3"/>
      <c r="B3" s="3"/>
      <c r="C3" s="4"/>
      <c r="D3" s="4"/>
      <c r="E3" s="5"/>
      <c r="F3" s="5"/>
      <c r="G3" s="5"/>
      <c r="H3" s="5"/>
      <c r="I3" s="5"/>
      <c r="J3" s="7"/>
      <c r="K3" s="7"/>
    </row>
    <row r="4" customFormat="false" ht="15" hidden="false" customHeight="true" outlineLevel="0" collapsed="false">
      <c r="A4" s="8" t="s">
        <v>7</v>
      </c>
      <c r="B4" s="8"/>
      <c r="C4" s="9" t="s">
        <v>8</v>
      </c>
      <c r="D4" s="9"/>
      <c r="E4" s="10" t="s">
        <v>9</v>
      </c>
      <c r="F4" s="10"/>
      <c r="G4" s="10" t="s">
        <v>4</v>
      </c>
      <c r="H4" s="9" t="s">
        <v>10</v>
      </c>
      <c r="I4" s="11" t="s">
        <v>11</v>
      </c>
      <c r="J4" s="11"/>
      <c r="K4" s="11"/>
    </row>
    <row r="5" customFormat="false" ht="15" hidden="false" customHeight="false" outlineLevel="0" collapsed="false">
      <c r="A5" s="8"/>
      <c r="B5" s="8"/>
      <c r="C5" s="9"/>
      <c r="D5" s="9"/>
      <c r="E5" s="10"/>
      <c r="F5" s="10"/>
      <c r="G5" s="10"/>
      <c r="H5" s="10"/>
      <c r="I5" s="10"/>
      <c r="J5" s="11"/>
      <c r="K5" s="11"/>
    </row>
    <row r="6" customFormat="false" ht="13.8" hidden="false" customHeight="true" outlineLevel="0" collapsed="false">
      <c r="A6" s="8" t="s">
        <v>12</v>
      </c>
      <c r="B6" s="8"/>
      <c r="C6" s="9" t="s">
        <v>13</v>
      </c>
      <c r="D6" s="9"/>
      <c r="E6" s="10" t="s">
        <v>14</v>
      </c>
      <c r="F6" s="10"/>
      <c r="G6" s="10" t="s">
        <v>4</v>
      </c>
      <c r="H6" s="9" t="s">
        <v>15</v>
      </c>
      <c r="I6" s="11"/>
      <c r="J6" s="11"/>
      <c r="K6" s="11"/>
    </row>
    <row r="7" customFormat="false" ht="13.8" hidden="false" customHeight="false" outlineLevel="0" collapsed="false">
      <c r="A7" s="8"/>
      <c r="B7" s="8"/>
      <c r="C7" s="9"/>
      <c r="D7" s="9"/>
      <c r="E7" s="10"/>
      <c r="F7" s="10"/>
      <c r="G7" s="10"/>
      <c r="H7" s="10"/>
      <c r="I7" s="10"/>
      <c r="J7" s="11"/>
      <c r="K7" s="11"/>
    </row>
    <row r="8" customFormat="false" ht="13.8" hidden="false" customHeight="true" outlineLevel="0" collapsed="false">
      <c r="A8" s="8" t="s">
        <v>16</v>
      </c>
      <c r="B8" s="8"/>
      <c r="C8" s="9" t="s">
        <v>4</v>
      </c>
      <c r="D8" s="9"/>
      <c r="E8" s="10" t="s">
        <v>17</v>
      </c>
      <c r="F8" s="10"/>
      <c r="G8" s="12" t="n">
        <v>45412</v>
      </c>
      <c r="H8" s="9" t="s">
        <v>18</v>
      </c>
      <c r="I8" s="11" t="s">
        <v>19</v>
      </c>
      <c r="J8" s="11"/>
      <c r="K8" s="11"/>
    </row>
    <row r="9" customFormat="false" ht="13.8" hidden="false" customHeight="false" outlineLevel="0" collapsed="false">
      <c r="A9" s="8"/>
      <c r="B9" s="8"/>
      <c r="C9" s="9"/>
      <c r="D9" s="9"/>
      <c r="E9" s="10"/>
      <c r="F9" s="10"/>
      <c r="G9" s="12"/>
      <c r="H9" s="12"/>
      <c r="I9" s="12"/>
      <c r="J9" s="11"/>
      <c r="K9" s="11"/>
    </row>
    <row r="10" customFormat="false" ht="15" hidden="false" customHeight="false" outlineLevel="0" collapsed="false">
      <c r="A10" s="13" t="s">
        <v>20</v>
      </c>
      <c r="B10" s="14" t="s">
        <v>21</v>
      </c>
      <c r="C10" s="14" t="s">
        <v>22</v>
      </c>
      <c r="D10" s="14"/>
      <c r="E10" s="14" t="s">
        <v>23</v>
      </c>
      <c r="F10" s="15" t="s">
        <v>24</v>
      </c>
      <c r="G10" s="16" t="s">
        <v>25</v>
      </c>
      <c r="H10" s="17" t="s">
        <v>26</v>
      </c>
      <c r="I10" s="17"/>
      <c r="J10" s="17"/>
      <c r="K10" s="15" t="s">
        <v>27</v>
      </c>
      <c r="BK10" s="18" t="s">
        <v>28</v>
      </c>
      <c r="BL10" s="19" t="s">
        <v>29</v>
      </c>
      <c r="BW10" s="19" t="s">
        <v>30</v>
      </c>
    </row>
    <row r="11" customFormat="false" ht="15" hidden="false" customHeight="false" outlineLevel="0" collapsed="false">
      <c r="A11" s="20" t="s">
        <v>4</v>
      </c>
      <c r="B11" s="21" t="s">
        <v>4</v>
      </c>
      <c r="C11" s="22" t="s">
        <v>31</v>
      </c>
      <c r="D11" s="22"/>
      <c r="E11" s="21" t="s">
        <v>4</v>
      </c>
      <c r="F11" s="21" t="s">
        <v>4</v>
      </c>
      <c r="G11" s="23" t="s">
        <v>32</v>
      </c>
      <c r="H11" s="24" t="s">
        <v>33</v>
      </c>
      <c r="I11" s="25" t="s">
        <v>34</v>
      </c>
      <c r="J11" s="26" t="s">
        <v>35</v>
      </c>
      <c r="K11" s="25" t="s">
        <v>36</v>
      </c>
      <c r="Z11" s="18" t="s">
        <v>37</v>
      </c>
      <c r="AA11" s="18" t="s">
        <v>38</v>
      </c>
      <c r="AB11" s="18" t="s">
        <v>39</v>
      </c>
      <c r="AC11" s="18" t="s">
        <v>40</v>
      </c>
      <c r="AD11" s="18" t="s">
        <v>41</v>
      </c>
      <c r="AE11" s="18" t="s">
        <v>42</v>
      </c>
      <c r="AF11" s="18" t="s">
        <v>43</v>
      </c>
      <c r="AG11" s="18" t="s">
        <v>44</v>
      </c>
      <c r="AH11" s="18" t="s">
        <v>45</v>
      </c>
      <c r="BH11" s="18" t="s">
        <v>46</v>
      </c>
      <c r="BI11" s="18" t="s">
        <v>47</v>
      </c>
      <c r="BJ11" s="18" t="s">
        <v>48</v>
      </c>
    </row>
    <row r="12" customFormat="false" ht="15" hidden="false" customHeight="true" outlineLevel="0" collapsed="false">
      <c r="A12" s="27"/>
      <c r="B12" s="28" t="s">
        <v>49</v>
      </c>
      <c r="C12" s="29" t="s">
        <v>50</v>
      </c>
      <c r="D12" s="29"/>
      <c r="E12" s="30" t="s">
        <v>4</v>
      </c>
      <c r="F12" s="30" t="s">
        <v>4</v>
      </c>
      <c r="G12" s="30" t="s">
        <v>4</v>
      </c>
      <c r="H12" s="2" t="n">
        <f aca="false">SUM(H13:H23)</f>
        <v>0</v>
      </c>
      <c r="I12" s="2" t="n">
        <f aca="false">SUM(I13:I23)</f>
        <v>0</v>
      </c>
      <c r="J12" s="2" t="n">
        <f aca="false">SUM(J13:J23)</f>
        <v>0</v>
      </c>
      <c r="K12" s="31"/>
      <c r="AI12" s="18"/>
      <c r="AS12" s="2" t="n">
        <f aca="false">SUM(AJ13:AJ23)</f>
        <v>0</v>
      </c>
      <c r="AT12" s="2" t="n">
        <f aca="false">SUM(AK13:AK23)</f>
        <v>0</v>
      </c>
      <c r="AU12" s="2" t="n">
        <f aca="false">SUM(AL13:AL23)</f>
        <v>0</v>
      </c>
    </row>
    <row r="13" customFormat="false" ht="15" hidden="false" customHeight="true" outlineLevel="0" collapsed="false">
      <c r="A13" s="32" t="s">
        <v>51</v>
      </c>
      <c r="B13" s="10" t="s">
        <v>52</v>
      </c>
      <c r="C13" s="9" t="s">
        <v>53</v>
      </c>
      <c r="D13" s="9"/>
      <c r="E13" s="10" t="s">
        <v>54</v>
      </c>
      <c r="F13" s="33" t="n">
        <v>1</v>
      </c>
      <c r="G13" s="33" t="n">
        <v>0</v>
      </c>
      <c r="H13" s="33" t="n">
        <f aca="false">F13*AO13</f>
        <v>0</v>
      </c>
      <c r="I13" s="33" t="n">
        <f aca="false">F13*AP13</f>
        <v>0</v>
      </c>
      <c r="J13" s="33" t="n">
        <f aca="false">F13*G13</f>
        <v>0</v>
      </c>
      <c r="K13" s="34" t="s">
        <v>55</v>
      </c>
      <c r="Z13" s="33" t="n">
        <f aca="false">IF(AQ13="5",BJ13,0)</f>
        <v>0</v>
      </c>
      <c r="AB13" s="33" t="n">
        <f aca="false">IF(AQ13="1",BH13,0)</f>
        <v>0</v>
      </c>
      <c r="AC13" s="33" t="n">
        <f aca="false">IF(AQ13="1",BI13,0)</f>
        <v>0</v>
      </c>
      <c r="AD13" s="33" t="n">
        <f aca="false">IF(AQ13="7",BH13,0)</f>
        <v>0</v>
      </c>
      <c r="AE13" s="33" t="n">
        <f aca="false">IF(AQ13="7",BI13,0)</f>
        <v>0</v>
      </c>
      <c r="AF13" s="33" t="n">
        <f aca="false">IF(AQ13="2",BH13,0)</f>
        <v>0</v>
      </c>
      <c r="AG13" s="33" t="n">
        <f aca="false">IF(AQ13="2",BI13,0)</f>
        <v>0</v>
      </c>
      <c r="AH13" s="33" t="n">
        <f aca="false">IF(AQ13="0",BJ13,0)</f>
        <v>0</v>
      </c>
      <c r="AI13" s="18"/>
      <c r="AJ13" s="33" t="n">
        <f aca="false">IF(AN13=0,J13,0)</f>
        <v>0</v>
      </c>
      <c r="AK13" s="33" t="n">
        <f aca="false">IF(AN13=12,J13,0)</f>
        <v>0</v>
      </c>
      <c r="AL13" s="33" t="n">
        <f aca="false">IF(AN13=21,J13,0)</f>
        <v>0</v>
      </c>
      <c r="AN13" s="33" t="n">
        <v>12</v>
      </c>
      <c r="AO13" s="33" t="n">
        <f aca="false">G13*0</f>
        <v>0</v>
      </c>
      <c r="AP13" s="33" t="n">
        <f aca="false">G13*(1-0)</f>
        <v>0</v>
      </c>
      <c r="AQ13" s="35" t="s">
        <v>51</v>
      </c>
      <c r="AV13" s="33" t="n">
        <f aca="false">AW13+AX13</f>
        <v>0</v>
      </c>
      <c r="AW13" s="33" t="n">
        <f aca="false">F13*AO13</f>
        <v>0</v>
      </c>
      <c r="AX13" s="33" t="n">
        <f aca="false">F13*AP13</f>
        <v>0</v>
      </c>
      <c r="AY13" s="35" t="s">
        <v>56</v>
      </c>
      <c r="AZ13" s="35" t="s">
        <v>56</v>
      </c>
      <c r="BA13" s="18" t="s">
        <v>57</v>
      </c>
      <c r="BC13" s="33" t="n">
        <f aca="false">AW13+AX13</f>
        <v>0</v>
      </c>
      <c r="BD13" s="33" t="n">
        <f aca="false">G13/(100-BE13)*100</f>
        <v>0</v>
      </c>
      <c r="BE13" s="33" t="n">
        <v>0</v>
      </c>
      <c r="BF13" s="33" t="n">
        <f aca="false">13</f>
        <v>13</v>
      </c>
      <c r="BH13" s="33" t="n">
        <f aca="false">F13*AO13</f>
        <v>0</v>
      </c>
      <c r="BI13" s="33" t="n">
        <f aca="false">F13*AP13</f>
        <v>0</v>
      </c>
      <c r="BJ13" s="33" t="n">
        <f aca="false">F13*G13</f>
        <v>0</v>
      </c>
      <c r="BK13" s="33"/>
      <c r="BL13" s="33" t="n">
        <v>0</v>
      </c>
      <c r="BW13" s="33" t="n">
        <v>12</v>
      </c>
      <c r="BX13" s="9" t="s">
        <v>53</v>
      </c>
    </row>
    <row r="14" customFormat="false" ht="15" hidden="false" customHeight="false" outlineLevel="0" collapsed="false">
      <c r="A14" s="36"/>
      <c r="C14" s="37" t="s">
        <v>51</v>
      </c>
      <c r="D14" s="37"/>
      <c r="F14" s="38" t="n">
        <v>1</v>
      </c>
      <c r="K14" s="39"/>
    </row>
    <row r="15" customFormat="false" ht="15" hidden="false" customHeight="true" outlineLevel="0" collapsed="false">
      <c r="A15" s="32" t="s">
        <v>58</v>
      </c>
      <c r="B15" s="10" t="s">
        <v>59</v>
      </c>
      <c r="C15" s="9" t="s">
        <v>60</v>
      </c>
      <c r="D15" s="9"/>
      <c r="E15" s="10" t="s">
        <v>54</v>
      </c>
      <c r="F15" s="33" t="n">
        <v>1</v>
      </c>
      <c r="G15" s="33" t="n">
        <v>0</v>
      </c>
      <c r="H15" s="33" t="n">
        <f aca="false">F15*AO15</f>
        <v>0</v>
      </c>
      <c r="I15" s="33" t="n">
        <f aca="false">F15*AP15</f>
        <v>0</v>
      </c>
      <c r="J15" s="33" t="n">
        <f aca="false">F15*G15</f>
        <v>0</v>
      </c>
      <c r="K15" s="34" t="s">
        <v>55</v>
      </c>
      <c r="Z15" s="33" t="n">
        <f aca="false">IF(AQ15="5",BJ15,0)</f>
        <v>0</v>
      </c>
      <c r="AB15" s="33" t="n">
        <f aca="false">IF(AQ15="1",BH15,0)</f>
        <v>0</v>
      </c>
      <c r="AC15" s="33" t="n">
        <f aca="false">IF(AQ15="1",BI15,0)</f>
        <v>0</v>
      </c>
      <c r="AD15" s="33" t="n">
        <f aca="false">IF(AQ15="7",BH15,0)</f>
        <v>0</v>
      </c>
      <c r="AE15" s="33" t="n">
        <f aca="false">IF(AQ15="7",BI15,0)</f>
        <v>0</v>
      </c>
      <c r="AF15" s="33" t="n">
        <f aca="false">IF(AQ15="2",BH15,0)</f>
        <v>0</v>
      </c>
      <c r="AG15" s="33" t="n">
        <f aca="false">IF(AQ15="2",BI15,0)</f>
        <v>0</v>
      </c>
      <c r="AH15" s="33" t="n">
        <f aca="false">IF(AQ15="0",BJ15,0)</f>
        <v>0</v>
      </c>
      <c r="AI15" s="18"/>
      <c r="AJ15" s="33" t="n">
        <f aca="false">IF(AN15=0,J15,0)</f>
        <v>0</v>
      </c>
      <c r="AK15" s="33" t="n">
        <f aca="false">IF(AN15=12,J15,0)</f>
        <v>0</v>
      </c>
      <c r="AL15" s="33" t="n">
        <f aca="false">IF(AN15=21,J15,0)</f>
        <v>0</v>
      </c>
      <c r="AN15" s="33" t="n">
        <v>12</v>
      </c>
      <c r="AO15" s="33" t="n">
        <f aca="false">G15*0</f>
        <v>0</v>
      </c>
      <c r="AP15" s="33" t="n">
        <f aca="false">G15*(1-0)</f>
        <v>0</v>
      </c>
      <c r="AQ15" s="35" t="s">
        <v>51</v>
      </c>
      <c r="AV15" s="33" t="n">
        <f aca="false">AW15+AX15</f>
        <v>0</v>
      </c>
      <c r="AW15" s="33" t="n">
        <f aca="false">F15*AO15</f>
        <v>0</v>
      </c>
      <c r="AX15" s="33" t="n">
        <f aca="false">F15*AP15</f>
        <v>0</v>
      </c>
      <c r="AY15" s="35" t="s">
        <v>56</v>
      </c>
      <c r="AZ15" s="35" t="s">
        <v>56</v>
      </c>
      <c r="BA15" s="18" t="s">
        <v>57</v>
      </c>
      <c r="BC15" s="33" t="n">
        <f aca="false">AW15+AX15</f>
        <v>0</v>
      </c>
      <c r="BD15" s="33" t="n">
        <f aca="false">G15/(100-BE15)*100</f>
        <v>0</v>
      </c>
      <c r="BE15" s="33" t="n">
        <v>0</v>
      </c>
      <c r="BF15" s="33" t="n">
        <f aca="false">15</f>
        <v>15</v>
      </c>
      <c r="BH15" s="33" t="n">
        <f aca="false">F15*AO15</f>
        <v>0</v>
      </c>
      <c r="BI15" s="33" t="n">
        <f aca="false">F15*AP15</f>
        <v>0</v>
      </c>
      <c r="BJ15" s="33" t="n">
        <f aca="false">F15*G15</f>
        <v>0</v>
      </c>
      <c r="BK15" s="33"/>
      <c r="BL15" s="33" t="n">
        <v>0</v>
      </c>
      <c r="BW15" s="33" t="n">
        <v>12</v>
      </c>
      <c r="BX15" s="9" t="s">
        <v>60</v>
      </c>
    </row>
    <row r="16" customFormat="false" ht="15" hidden="false" customHeight="false" outlineLevel="0" collapsed="false">
      <c r="A16" s="36"/>
      <c r="C16" s="37" t="s">
        <v>51</v>
      </c>
      <c r="D16" s="37"/>
      <c r="F16" s="38" t="n">
        <v>1</v>
      </c>
      <c r="K16" s="39"/>
    </row>
    <row r="17" customFormat="false" ht="15" hidden="false" customHeight="true" outlineLevel="0" collapsed="false">
      <c r="A17" s="32" t="s">
        <v>61</v>
      </c>
      <c r="B17" s="10" t="s">
        <v>62</v>
      </c>
      <c r="C17" s="9" t="s">
        <v>63</v>
      </c>
      <c r="D17" s="9"/>
      <c r="E17" s="10" t="s">
        <v>54</v>
      </c>
      <c r="F17" s="33" t="n">
        <v>1</v>
      </c>
      <c r="G17" s="33" t="n">
        <v>0</v>
      </c>
      <c r="H17" s="33" t="n">
        <f aca="false">F17*AO17</f>
        <v>0</v>
      </c>
      <c r="I17" s="33" t="n">
        <f aca="false">F17*AP17</f>
        <v>0</v>
      </c>
      <c r="J17" s="33" t="n">
        <f aca="false">F17*G17</f>
        <v>0</v>
      </c>
      <c r="K17" s="34" t="s">
        <v>55</v>
      </c>
      <c r="Z17" s="33" t="n">
        <f aca="false">IF(AQ17="5",BJ17,0)</f>
        <v>0</v>
      </c>
      <c r="AB17" s="33" t="n">
        <f aca="false">IF(AQ17="1",BH17,0)</f>
        <v>0</v>
      </c>
      <c r="AC17" s="33" t="n">
        <f aca="false">IF(AQ17="1",BI17,0)</f>
        <v>0</v>
      </c>
      <c r="AD17" s="33" t="n">
        <f aca="false">IF(AQ17="7",BH17,0)</f>
        <v>0</v>
      </c>
      <c r="AE17" s="33" t="n">
        <f aca="false">IF(AQ17="7",BI17,0)</f>
        <v>0</v>
      </c>
      <c r="AF17" s="33" t="n">
        <f aca="false">IF(AQ17="2",BH17,0)</f>
        <v>0</v>
      </c>
      <c r="AG17" s="33" t="n">
        <f aca="false">IF(AQ17="2",BI17,0)</f>
        <v>0</v>
      </c>
      <c r="AH17" s="33" t="n">
        <f aca="false">IF(AQ17="0",BJ17,0)</f>
        <v>0</v>
      </c>
      <c r="AI17" s="18"/>
      <c r="AJ17" s="33" t="n">
        <f aca="false">IF(AN17=0,J17,0)</f>
        <v>0</v>
      </c>
      <c r="AK17" s="33" t="n">
        <f aca="false">IF(AN17=12,J17,0)</f>
        <v>0</v>
      </c>
      <c r="AL17" s="33" t="n">
        <f aca="false">IF(AN17=21,J17,0)</f>
        <v>0</v>
      </c>
      <c r="AN17" s="33" t="n">
        <v>12</v>
      </c>
      <c r="AO17" s="33" t="n">
        <f aca="false">G17*0</f>
        <v>0</v>
      </c>
      <c r="AP17" s="33" t="n">
        <f aca="false">G17*(1-0)</f>
        <v>0</v>
      </c>
      <c r="AQ17" s="35" t="s">
        <v>51</v>
      </c>
      <c r="AV17" s="33" t="n">
        <f aca="false">AW17+AX17</f>
        <v>0</v>
      </c>
      <c r="AW17" s="33" t="n">
        <f aca="false">F17*AO17</f>
        <v>0</v>
      </c>
      <c r="AX17" s="33" t="n">
        <f aca="false">F17*AP17</f>
        <v>0</v>
      </c>
      <c r="AY17" s="35" t="s">
        <v>56</v>
      </c>
      <c r="AZ17" s="35" t="s">
        <v>56</v>
      </c>
      <c r="BA17" s="18" t="s">
        <v>57</v>
      </c>
      <c r="BC17" s="33" t="n">
        <f aca="false">AW17+AX17</f>
        <v>0</v>
      </c>
      <c r="BD17" s="33" t="n">
        <f aca="false">G17/(100-BE17)*100</f>
        <v>0</v>
      </c>
      <c r="BE17" s="33" t="n">
        <v>0</v>
      </c>
      <c r="BF17" s="33" t="n">
        <f aca="false">17</f>
        <v>17</v>
      </c>
      <c r="BH17" s="33" t="n">
        <f aca="false">F17*AO17</f>
        <v>0</v>
      </c>
      <c r="BI17" s="33" t="n">
        <f aca="false">F17*AP17</f>
        <v>0</v>
      </c>
      <c r="BJ17" s="33" t="n">
        <f aca="false">F17*G17</f>
        <v>0</v>
      </c>
      <c r="BK17" s="33"/>
      <c r="BL17" s="33" t="n">
        <v>0</v>
      </c>
      <c r="BW17" s="33" t="n">
        <v>12</v>
      </c>
      <c r="BX17" s="9" t="s">
        <v>63</v>
      </c>
    </row>
    <row r="18" customFormat="false" ht="15" hidden="false" customHeight="false" outlineLevel="0" collapsed="false">
      <c r="A18" s="36"/>
      <c r="C18" s="37" t="s">
        <v>51</v>
      </c>
      <c r="D18" s="37"/>
      <c r="F18" s="38" t="n">
        <v>1</v>
      </c>
      <c r="K18" s="39"/>
    </row>
    <row r="19" customFormat="false" ht="15" hidden="false" customHeight="true" outlineLevel="0" collapsed="false">
      <c r="A19" s="32" t="s">
        <v>64</v>
      </c>
      <c r="B19" s="10" t="s">
        <v>65</v>
      </c>
      <c r="C19" s="9" t="s">
        <v>66</v>
      </c>
      <c r="D19" s="9"/>
      <c r="E19" s="10" t="s">
        <v>54</v>
      </c>
      <c r="F19" s="33" t="n">
        <v>1</v>
      </c>
      <c r="G19" s="33" t="n">
        <v>0</v>
      </c>
      <c r="H19" s="33" t="n">
        <f aca="false">F19*AO19</f>
        <v>0</v>
      </c>
      <c r="I19" s="33" t="n">
        <f aca="false">F19*AP19</f>
        <v>0</v>
      </c>
      <c r="J19" s="33" t="n">
        <f aca="false">F19*G19</f>
        <v>0</v>
      </c>
      <c r="K19" s="34" t="s">
        <v>55</v>
      </c>
      <c r="Z19" s="33" t="n">
        <f aca="false">IF(AQ19="5",BJ19,0)</f>
        <v>0</v>
      </c>
      <c r="AB19" s="33" t="n">
        <f aca="false">IF(AQ19="1",BH19,0)</f>
        <v>0</v>
      </c>
      <c r="AC19" s="33" t="n">
        <f aca="false">IF(AQ19="1",BI19,0)</f>
        <v>0</v>
      </c>
      <c r="AD19" s="33" t="n">
        <f aca="false">IF(AQ19="7",BH19,0)</f>
        <v>0</v>
      </c>
      <c r="AE19" s="33" t="n">
        <f aca="false">IF(AQ19="7",BI19,0)</f>
        <v>0</v>
      </c>
      <c r="AF19" s="33" t="n">
        <f aca="false">IF(AQ19="2",BH19,0)</f>
        <v>0</v>
      </c>
      <c r="AG19" s="33" t="n">
        <f aca="false">IF(AQ19="2",BI19,0)</f>
        <v>0</v>
      </c>
      <c r="AH19" s="33" t="n">
        <f aca="false">IF(AQ19="0",BJ19,0)</f>
        <v>0</v>
      </c>
      <c r="AI19" s="18"/>
      <c r="AJ19" s="33" t="n">
        <f aca="false">IF(AN19=0,J19,0)</f>
        <v>0</v>
      </c>
      <c r="AK19" s="33" t="n">
        <f aca="false">IF(AN19=12,J19,0)</f>
        <v>0</v>
      </c>
      <c r="AL19" s="33" t="n">
        <f aca="false">IF(AN19=21,J19,0)</f>
        <v>0</v>
      </c>
      <c r="AN19" s="33" t="n">
        <v>12</v>
      </c>
      <c r="AO19" s="33" t="n">
        <f aca="false">G19*0</f>
        <v>0</v>
      </c>
      <c r="AP19" s="33" t="n">
        <f aca="false">G19*(1-0)</f>
        <v>0</v>
      </c>
      <c r="AQ19" s="35" t="s">
        <v>51</v>
      </c>
      <c r="AV19" s="33" t="n">
        <f aca="false">AW19+AX19</f>
        <v>0</v>
      </c>
      <c r="AW19" s="33" t="n">
        <f aca="false">F19*AO19</f>
        <v>0</v>
      </c>
      <c r="AX19" s="33" t="n">
        <f aca="false">F19*AP19</f>
        <v>0</v>
      </c>
      <c r="AY19" s="35" t="s">
        <v>56</v>
      </c>
      <c r="AZ19" s="35" t="s">
        <v>56</v>
      </c>
      <c r="BA19" s="18" t="s">
        <v>57</v>
      </c>
      <c r="BC19" s="33" t="n">
        <f aca="false">AW19+AX19</f>
        <v>0</v>
      </c>
      <c r="BD19" s="33" t="n">
        <f aca="false">G19/(100-BE19)*100</f>
        <v>0</v>
      </c>
      <c r="BE19" s="33" t="n">
        <v>0</v>
      </c>
      <c r="BF19" s="33" t="n">
        <f aca="false">19</f>
        <v>19</v>
      </c>
      <c r="BH19" s="33" t="n">
        <f aca="false">F19*AO19</f>
        <v>0</v>
      </c>
      <c r="BI19" s="33" t="n">
        <f aca="false">F19*AP19</f>
        <v>0</v>
      </c>
      <c r="BJ19" s="33" t="n">
        <f aca="false">F19*G19</f>
        <v>0</v>
      </c>
      <c r="BK19" s="33"/>
      <c r="BL19" s="33" t="n">
        <v>0</v>
      </c>
      <c r="BW19" s="33" t="n">
        <v>12</v>
      </c>
      <c r="BX19" s="9" t="s">
        <v>66</v>
      </c>
    </row>
    <row r="20" customFormat="false" ht="23.85" hidden="false" customHeight="false" outlineLevel="0" collapsed="false">
      <c r="A20" s="36"/>
      <c r="C20" s="37" t="s">
        <v>51</v>
      </c>
      <c r="D20" s="40" t="s">
        <v>67</v>
      </c>
      <c r="F20" s="38" t="n">
        <v>1</v>
      </c>
      <c r="K20" s="39"/>
    </row>
    <row r="21" customFormat="false" ht="15" hidden="false" customHeight="true" outlineLevel="0" collapsed="false">
      <c r="A21" s="32" t="s">
        <v>68</v>
      </c>
      <c r="B21" s="10" t="s">
        <v>69</v>
      </c>
      <c r="C21" s="9" t="s">
        <v>70</v>
      </c>
      <c r="D21" s="9"/>
      <c r="E21" s="10" t="s">
        <v>54</v>
      </c>
      <c r="F21" s="33" t="n">
        <v>1</v>
      </c>
      <c r="G21" s="33" t="n">
        <v>0</v>
      </c>
      <c r="H21" s="33" t="n">
        <f aca="false">F21*AO21</f>
        <v>0</v>
      </c>
      <c r="I21" s="33" t="n">
        <f aca="false">F21*AP21</f>
        <v>0</v>
      </c>
      <c r="J21" s="33" t="n">
        <f aca="false">F21*G21</f>
        <v>0</v>
      </c>
      <c r="K21" s="34" t="s">
        <v>55</v>
      </c>
      <c r="Z21" s="33" t="n">
        <f aca="false">IF(AQ21="5",BJ21,0)</f>
        <v>0</v>
      </c>
      <c r="AB21" s="33" t="n">
        <f aca="false">IF(AQ21="1",BH21,0)</f>
        <v>0</v>
      </c>
      <c r="AC21" s="33" t="n">
        <f aca="false">IF(AQ21="1",BI21,0)</f>
        <v>0</v>
      </c>
      <c r="AD21" s="33" t="n">
        <f aca="false">IF(AQ21="7",BH21,0)</f>
        <v>0</v>
      </c>
      <c r="AE21" s="33" t="n">
        <f aca="false">IF(AQ21="7",BI21,0)</f>
        <v>0</v>
      </c>
      <c r="AF21" s="33" t="n">
        <f aca="false">IF(AQ21="2",BH21,0)</f>
        <v>0</v>
      </c>
      <c r="AG21" s="33" t="n">
        <f aca="false">IF(AQ21="2",BI21,0)</f>
        <v>0</v>
      </c>
      <c r="AH21" s="33" t="n">
        <f aca="false">IF(AQ21="0",BJ21,0)</f>
        <v>0</v>
      </c>
      <c r="AI21" s="18"/>
      <c r="AJ21" s="33" t="n">
        <f aca="false">IF(AN21=0,J21,0)</f>
        <v>0</v>
      </c>
      <c r="AK21" s="33" t="n">
        <f aca="false">IF(AN21=12,J21,0)</f>
        <v>0</v>
      </c>
      <c r="AL21" s="33" t="n">
        <f aca="false">IF(AN21=21,J21,0)</f>
        <v>0</v>
      </c>
      <c r="AN21" s="33" t="n">
        <v>12</v>
      </c>
      <c r="AO21" s="33" t="n">
        <f aca="false">G21*0</f>
        <v>0</v>
      </c>
      <c r="AP21" s="33" t="n">
        <f aca="false">G21*(1-0)</f>
        <v>0</v>
      </c>
      <c r="AQ21" s="35" t="s">
        <v>51</v>
      </c>
      <c r="AV21" s="33" t="n">
        <f aca="false">AW21+AX21</f>
        <v>0</v>
      </c>
      <c r="AW21" s="33" t="n">
        <f aca="false">F21*AO21</f>
        <v>0</v>
      </c>
      <c r="AX21" s="33" t="n">
        <f aca="false">F21*AP21</f>
        <v>0</v>
      </c>
      <c r="AY21" s="35" t="s">
        <v>56</v>
      </c>
      <c r="AZ21" s="35" t="s">
        <v>56</v>
      </c>
      <c r="BA21" s="18" t="s">
        <v>57</v>
      </c>
      <c r="BC21" s="33" t="n">
        <f aca="false">AW21+AX21</f>
        <v>0</v>
      </c>
      <c r="BD21" s="33" t="n">
        <f aca="false">G21/(100-BE21)*100</f>
        <v>0</v>
      </c>
      <c r="BE21" s="33" t="n">
        <v>0</v>
      </c>
      <c r="BF21" s="33" t="n">
        <f aca="false">21</f>
        <v>21</v>
      </c>
      <c r="BH21" s="33" t="n">
        <f aca="false">F21*AO21</f>
        <v>0</v>
      </c>
      <c r="BI21" s="33" t="n">
        <f aca="false">F21*AP21</f>
        <v>0</v>
      </c>
      <c r="BJ21" s="33" t="n">
        <f aca="false">F21*G21</f>
        <v>0</v>
      </c>
      <c r="BK21" s="33"/>
      <c r="BL21" s="33" t="n">
        <v>0</v>
      </c>
      <c r="BW21" s="33" t="n">
        <v>12</v>
      </c>
      <c r="BX21" s="9" t="s">
        <v>70</v>
      </c>
    </row>
    <row r="22" customFormat="false" ht="23.85" hidden="false" customHeight="false" outlineLevel="0" collapsed="false">
      <c r="A22" s="36"/>
      <c r="C22" s="37" t="s">
        <v>51</v>
      </c>
      <c r="D22" s="40" t="s">
        <v>71</v>
      </c>
      <c r="F22" s="38" t="n">
        <v>1</v>
      </c>
      <c r="K22" s="39"/>
    </row>
    <row r="23" customFormat="false" ht="15" hidden="false" customHeight="true" outlineLevel="0" collapsed="false">
      <c r="A23" s="32" t="s">
        <v>72</v>
      </c>
      <c r="B23" s="10" t="s">
        <v>73</v>
      </c>
      <c r="C23" s="9" t="s">
        <v>74</v>
      </c>
      <c r="D23" s="9"/>
      <c r="E23" s="10" t="s">
        <v>54</v>
      </c>
      <c r="F23" s="33" t="n">
        <v>1</v>
      </c>
      <c r="G23" s="33" t="n">
        <v>0</v>
      </c>
      <c r="H23" s="33" t="n">
        <f aca="false">F23*AO23</f>
        <v>0</v>
      </c>
      <c r="I23" s="33" t="n">
        <f aca="false">F23*AP23</f>
        <v>0</v>
      </c>
      <c r="J23" s="33" t="n">
        <f aca="false">F23*G23</f>
        <v>0</v>
      </c>
      <c r="K23" s="34" t="s">
        <v>55</v>
      </c>
      <c r="Z23" s="33" t="n">
        <f aca="false">IF(AQ23="5",BJ23,0)</f>
        <v>0</v>
      </c>
      <c r="AB23" s="33" t="n">
        <f aca="false">IF(AQ23="1",BH23,0)</f>
        <v>0</v>
      </c>
      <c r="AC23" s="33" t="n">
        <f aca="false">IF(AQ23="1",BI23,0)</f>
        <v>0</v>
      </c>
      <c r="AD23" s="33" t="n">
        <f aca="false">IF(AQ23="7",BH23,0)</f>
        <v>0</v>
      </c>
      <c r="AE23" s="33" t="n">
        <f aca="false">IF(AQ23="7",BI23,0)</f>
        <v>0</v>
      </c>
      <c r="AF23" s="33" t="n">
        <f aca="false">IF(AQ23="2",BH23,0)</f>
        <v>0</v>
      </c>
      <c r="AG23" s="33" t="n">
        <f aca="false">IF(AQ23="2",BI23,0)</f>
        <v>0</v>
      </c>
      <c r="AH23" s="33" t="n">
        <f aca="false">IF(AQ23="0",BJ23,0)</f>
        <v>0</v>
      </c>
      <c r="AI23" s="18"/>
      <c r="AJ23" s="33" t="n">
        <f aca="false">IF(AN23=0,J23,0)</f>
        <v>0</v>
      </c>
      <c r="AK23" s="33" t="n">
        <f aca="false">IF(AN23=12,J23,0)</f>
        <v>0</v>
      </c>
      <c r="AL23" s="33" t="n">
        <f aca="false">IF(AN23=21,J23,0)</f>
        <v>0</v>
      </c>
      <c r="AN23" s="33" t="n">
        <v>12</v>
      </c>
      <c r="AO23" s="33" t="n">
        <f aca="false">G23*0</f>
        <v>0</v>
      </c>
      <c r="AP23" s="33" t="n">
        <f aca="false">G23*(1-0)</f>
        <v>0</v>
      </c>
      <c r="AQ23" s="35" t="s">
        <v>51</v>
      </c>
      <c r="AV23" s="33" t="n">
        <f aca="false">AW23+AX23</f>
        <v>0</v>
      </c>
      <c r="AW23" s="33" t="n">
        <f aca="false">F23*AO23</f>
        <v>0</v>
      </c>
      <c r="AX23" s="33" t="n">
        <f aca="false">F23*AP23</f>
        <v>0</v>
      </c>
      <c r="AY23" s="35" t="s">
        <v>56</v>
      </c>
      <c r="AZ23" s="35" t="s">
        <v>56</v>
      </c>
      <c r="BA23" s="18" t="s">
        <v>57</v>
      </c>
      <c r="BC23" s="33" t="n">
        <f aca="false">AW23+AX23</f>
        <v>0</v>
      </c>
      <c r="BD23" s="33" t="n">
        <f aca="false">G23/(100-BE23)*100</f>
        <v>0</v>
      </c>
      <c r="BE23" s="33" t="n">
        <v>0</v>
      </c>
      <c r="BF23" s="33" t="n">
        <f aca="false">23</f>
        <v>23</v>
      </c>
      <c r="BH23" s="33" t="n">
        <f aca="false">F23*AO23</f>
        <v>0</v>
      </c>
      <c r="BI23" s="33" t="n">
        <f aca="false">F23*AP23</f>
        <v>0</v>
      </c>
      <c r="BJ23" s="33" t="n">
        <f aca="false">F23*G23</f>
        <v>0</v>
      </c>
      <c r="BK23" s="33"/>
      <c r="BL23" s="33" t="n">
        <v>0</v>
      </c>
      <c r="BW23" s="33" t="n">
        <v>12</v>
      </c>
      <c r="BX23" s="9" t="s">
        <v>74</v>
      </c>
    </row>
    <row r="24" customFormat="false" ht="23.85" hidden="false" customHeight="false" outlineLevel="0" collapsed="false">
      <c r="A24" s="36"/>
      <c r="C24" s="37" t="s">
        <v>51</v>
      </c>
      <c r="D24" s="40" t="s">
        <v>75</v>
      </c>
      <c r="F24" s="38" t="n">
        <v>1</v>
      </c>
      <c r="K24" s="39"/>
    </row>
    <row r="25" customFormat="false" ht="23.85" hidden="false" customHeight="false" outlineLevel="0" collapsed="false">
      <c r="A25" s="36"/>
      <c r="C25" s="37"/>
      <c r="D25" s="40" t="s">
        <v>76</v>
      </c>
      <c r="F25" s="38" t="n">
        <v>0</v>
      </c>
      <c r="K25" s="39"/>
    </row>
    <row r="26" customFormat="false" ht="13.8" hidden="false" customHeight="false" outlineLevel="0" collapsed="false">
      <c r="A26" s="36"/>
      <c r="C26" s="37"/>
      <c r="D26" s="40" t="s">
        <v>77</v>
      </c>
      <c r="F26" s="38" t="n">
        <v>0</v>
      </c>
      <c r="K26" s="39"/>
    </row>
    <row r="27" customFormat="false" ht="15" hidden="false" customHeight="true" outlineLevel="0" collapsed="false">
      <c r="A27" s="27"/>
      <c r="B27" s="28" t="s">
        <v>78</v>
      </c>
      <c r="C27" s="29" t="s">
        <v>79</v>
      </c>
      <c r="D27" s="29"/>
      <c r="E27" s="30" t="s">
        <v>4</v>
      </c>
      <c r="F27" s="30" t="s">
        <v>4</v>
      </c>
      <c r="G27" s="30" t="s">
        <v>4</v>
      </c>
      <c r="H27" s="2" t="n">
        <f aca="false">SUM(H28:H30)</f>
        <v>0</v>
      </c>
      <c r="I27" s="2" t="n">
        <f aca="false">SUM(I28:I30)</f>
        <v>0</v>
      </c>
      <c r="J27" s="2" t="n">
        <f aca="false">SUM(J28:J30)</f>
        <v>0</v>
      </c>
      <c r="K27" s="31"/>
      <c r="AI27" s="18"/>
      <c r="AS27" s="2" t="n">
        <f aca="false">SUM(AJ28:AJ30)</f>
        <v>0</v>
      </c>
      <c r="AT27" s="2" t="n">
        <f aca="false">SUM(AK28:AK30)</f>
        <v>0</v>
      </c>
      <c r="AU27" s="2" t="n">
        <f aca="false">SUM(AL28:AL30)</f>
        <v>0</v>
      </c>
    </row>
    <row r="28" customFormat="false" ht="15" hidden="false" customHeight="true" outlineLevel="0" collapsed="false">
      <c r="A28" s="32" t="s">
        <v>80</v>
      </c>
      <c r="B28" s="10" t="s">
        <v>81</v>
      </c>
      <c r="C28" s="9" t="s">
        <v>82</v>
      </c>
      <c r="D28" s="9"/>
      <c r="E28" s="10" t="s">
        <v>83</v>
      </c>
      <c r="F28" s="33" t="n">
        <v>5.145</v>
      </c>
      <c r="G28" s="33" t="n">
        <v>0</v>
      </c>
      <c r="H28" s="33" t="n">
        <f aca="false">F28*AO28</f>
        <v>0</v>
      </c>
      <c r="I28" s="33" t="n">
        <f aca="false">F28*AP28</f>
        <v>0</v>
      </c>
      <c r="J28" s="33" t="n">
        <f aca="false">F28*G28</f>
        <v>0</v>
      </c>
      <c r="K28" s="34" t="s">
        <v>84</v>
      </c>
      <c r="Z28" s="33" t="n">
        <f aca="false">IF(AQ28="5",BJ28,0)</f>
        <v>0</v>
      </c>
      <c r="AB28" s="33" t="n">
        <f aca="false">IF(AQ28="1",BH28,0)</f>
        <v>0</v>
      </c>
      <c r="AC28" s="33" t="n">
        <f aca="false">IF(AQ28="1",BI28,0)</f>
        <v>0</v>
      </c>
      <c r="AD28" s="33" t="n">
        <f aca="false">IF(AQ28="7",BH28,0)</f>
        <v>0</v>
      </c>
      <c r="AE28" s="33" t="n">
        <f aca="false">IF(AQ28="7",BI28,0)</f>
        <v>0</v>
      </c>
      <c r="AF28" s="33" t="n">
        <f aca="false">IF(AQ28="2",BH28,0)</f>
        <v>0</v>
      </c>
      <c r="AG28" s="33" t="n">
        <f aca="false">IF(AQ28="2",BI28,0)</f>
        <v>0</v>
      </c>
      <c r="AH28" s="33" t="n">
        <f aca="false">IF(AQ28="0",BJ28,0)</f>
        <v>0</v>
      </c>
      <c r="AI28" s="18"/>
      <c r="AJ28" s="33" t="n">
        <f aca="false">IF(AN28=0,J28,0)</f>
        <v>0</v>
      </c>
      <c r="AK28" s="33" t="n">
        <f aca="false">IF(AN28=12,J28,0)</f>
        <v>0</v>
      </c>
      <c r="AL28" s="33" t="n">
        <f aca="false">IF(AN28=21,J28,0)</f>
        <v>0</v>
      </c>
      <c r="AN28" s="33" t="n">
        <v>12</v>
      </c>
      <c r="AO28" s="33" t="n">
        <f aca="false">G28*0</f>
        <v>0</v>
      </c>
      <c r="AP28" s="33" t="n">
        <f aca="false">G28*(1-0)</f>
        <v>0</v>
      </c>
      <c r="AQ28" s="35" t="s">
        <v>51</v>
      </c>
      <c r="AV28" s="33" t="n">
        <f aca="false">AW28+AX28</f>
        <v>0</v>
      </c>
      <c r="AW28" s="33" t="n">
        <f aca="false">F28*AO28</f>
        <v>0</v>
      </c>
      <c r="AX28" s="33" t="n">
        <f aca="false">F28*AP28</f>
        <v>0</v>
      </c>
      <c r="AY28" s="35" t="s">
        <v>85</v>
      </c>
      <c r="AZ28" s="35" t="s">
        <v>86</v>
      </c>
      <c r="BA28" s="18" t="s">
        <v>57</v>
      </c>
      <c r="BC28" s="33" t="n">
        <f aca="false">AW28+AX28</f>
        <v>0</v>
      </c>
      <c r="BD28" s="33" t="n">
        <f aca="false">G28/(100-BE28)*100</f>
        <v>0</v>
      </c>
      <c r="BE28" s="33" t="n">
        <v>0</v>
      </c>
      <c r="BF28" s="33" t="n">
        <f aca="false">28</f>
        <v>28</v>
      </c>
      <c r="BH28" s="33" t="n">
        <f aca="false">F28*AO28</f>
        <v>0</v>
      </c>
      <c r="BI28" s="33" t="n">
        <f aca="false">F28*AP28</f>
        <v>0</v>
      </c>
      <c r="BJ28" s="33" t="n">
        <f aca="false">F28*G28</f>
        <v>0</v>
      </c>
      <c r="BK28" s="33"/>
      <c r="BL28" s="33" t="n">
        <v>11</v>
      </c>
      <c r="BW28" s="33" t="n">
        <v>12</v>
      </c>
      <c r="BX28" s="9" t="s">
        <v>82</v>
      </c>
    </row>
    <row r="29" customFormat="false" ht="15" hidden="false" customHeight="false" outlineLevel="0" collapsed="false">
      <c r="A29" s="36"/>
      <c r="C29" s="37" t="s">
        <v>87</v>
      </c>
      <c r="D29" s="37"/>
      <c r="F29" s="38" t="n">
        <v>5.145</v>
      </c>
      <c r="K29" s="39"/>
    </row>
    <row r="30" customFormat="false" ht="15" hidden="false" customHeight="true" outlineLevel="0" collapsed="false">
      <c r="A30" s="32" t="s">
        <v>88</v>
      </c>
      <c r="B30" s="10" t="s">
        <v>89</v>
      </c>
      <c r="C30" s="9" t="s">
        <v>90</v>
      </c>
      <c r="D30" s="9"/>
      <c r="E30" s="10" t="s">
        <v>91</v>
      </c>
      <c r="F30" s="33" t="n">
        <v>7</v>
      </c>
      <c r="G30" s="33" t="n">
        <v>0</v>
      </c>
      <c r="H30" s="33" t="n">
        <f aca="false">F30*AO30</f>
        <v>0</v>
      </c>
      <c r="I30" s="33" t="n">
        <f aca="false">F30*AP30</f>
        <v>0</v>
      </c>
      <c r="J30" s="33" t="n">
        <f aca="false">F30*G30</f>
        <v>0</v>
      </c>
      <c r="K30" s="34" t="s">
        <v>84</v>
      </c>
      <c r="Z30" s="33" t="n">
        <f aca="false">IF(AQ30="5",BJ30,0)</f>
        <v>0</v>
      </c>
      <c r="AB30" s="33" t="n">
        <f aca="false">IF(AQ30="1",BH30,0)</f>
        <v>0</v>
      </c>
      <c r="AC30" s="33" t="n">
        <f aca="false">IF(AQ30="1",BI30,0)</f>
        <v>0</v>
      </c>
      <c r="AD30" s="33" t="n">
        <f aca="false">IF(AQ30="7",BH30,0)</f>
        <v>0</v>
      </c>
      <c r="AE30" s="33" t="n">
        <f aca="false">IF(AQ30="7",BI30,0)</f>
        <v>0</v>
      </c>
      <c r="AF30" s="33" t="n">
        <f aca="false">IF(AQ30="2",BH30,0)</f>
        <v>0</v>
      </c>
      <c r="AG30" s="33" t="n">
        <f aca="false">IF(AQ30="2",BI30,0)</f>
        <v>0</v>
      </c>
      <c r="AH30" s="33" t="n">
        <f aca="false">IF(AQ30="0",BJ30,0)</f>
        <v>0</v>
      </c>
      <c r="AI30" s="18"/>
      <c r="AJ30" s="33" t="n">
        <f aca="false">IF(AN30=0,J30,0)</f>
        <v>0</v>
      </c>
      <c r="AK30" s="33" t="n">
        <f aca="false">IF(AN30=12,J30,0)</f>
        <v>0</v>
      </c>
      <c r="AL30" s="33" t="n">
        <f aca="false">IF(AN30=21,J30,0)</f>
        <v>0</v>
      </c>
      <c r="AN30" s="33" t="n">
        <v>12</v>
      </c>
      <c r="AO30" s="33" t="n">
        <f aca="false">G30*0</f>
        <v>0</v>
      </c>
      <c r="AP30" s="33" t="n">
        <f aca="false">G30*(1-0)</f>
        <v>0</v>
      </c>
      <c r="AQ30" s="35" t="s">
        <v>51</v>
      </c>
      <c r="AV30" s="33" t="n">
        <f aca="false">AW30+AX30</f>
        <v>0</v>
      </c>
      <c r="AW30" s="33" t="n">
        <f aca="false">F30*AO30</f>
        <v>0</v>
      </c>
      <c r="AX30" s="33" t="n">
        <f aca="false">F30*AP30</f>
        <v>0</v>
      </c>
      <c r="AY30" s="35" t="s">
        <v>85</v>
      </c>
      <c r="AZ30" s="35" t="s">
        <v>86</v>
      </c>
      <c r="BA30" s="18" t="s">
        <v>57</v>
      </c>
      <c r="BC30" s="33" t="n">
        <f aca="false">AW30+AX30</f>
        <v>0</v>
      </c>
      <c r="BD30" s="33" t="n">
        <f aca="false">G30/(100-BE30)*100</f>
        <v>0</v>
      </c>
      <c r="BE30" s="33" t="n">
        <v>0</v>
      </c>
      <c r="BF30" s="33" t="n">
        <f aca="false">30</f>
        <v>30</v>
      </c>
      <c r="BH30" s="33" t="n">
        <f aca="false">F30*AO30</f>
        <v>0</v>
      </c>
      <c r="BI30" s="33" t="n">
        <f aca="false">F30*AP30</f>
        <v>0</v>
      </c>
      <c r="BJ30" s="33" t="n">
        <f aca="false">F30*G30</f>
        <v>0</v>
      </c>
      <c r="BK30" s="33"/>
      <c r="BL30" s="33" t="n">
        <v>11</v>
      </c>
      <c r="BW30" s="33" t="n">
        <v>12</v>
      </c>
      <c r="BX30" s="9" t="s">
        <v>90</v>
      </c>
    </row>
    <row r="31" customFormat="false" ht="15" hidden="false" customHeight="false" outlineLevel="0" collapsed="false">
      <c r="A31" s="36"/>
      <c r="C31" s="37" t="s">
        <v>92</v>
      </c>
      <c r="D31" s="37"/>
      <c r="F31" s="38" t="n">
        <v>7</v>
      </c>
      <c r="K31" s="39"/>
    </row>
    <row r="32" customFormat="false" ht="15" hidden="false" customHeight="true" outlineLevel="0" collapsed="false">
      <c r="A32" s="27"/>
      <c r="B32" s="28" t="s">
        <v>93</v>
      </c>
      <c r="C32" s="29" t="s">
        <v>94</v>
      </c>
      <c r="D32" s="29"/>
      <c r="E32" s="30" t="s">
        <v>4</v>
      </c>
      <c r="F32" s="30" t="s">
        <v>4</v>
      </c>
      <c r="G32" s="30" t="s">
        <v>4</v>
      </c>
      <c r="H32" s="2" t="n">
        <f aca="false">SUM(H33:H33)</f>
        <v>0</v>
      </c>
      <c r="I32" s="2" t="n">
        <f aca="false">SUM(I33:I33)</f>
        <v>0</v>
      </c>
      <c r="J32" s="2" t="n">
        <f aca="false">SUM(J33:J33)</f>
        <v>0</v>
      </c>
      <c r="K32" s="31"/>
      <c r="AI32" s="18"/>
      <c r="AS32" s="2" t="n">
        <f aca="false">SUM(AJ33:AJ33)</f>
        <v>0</v>
      </c>
      <c r="AT32" s="2" t="n">
        <f aca="false">SUM(AK33:AK33)</f>
        <v>0</v>
      </c>
      <c r="AU32" s="2" t="n">
        <f aca="false">SUM(AL33:AL33)</f>
        <v>0</v>
      </c>
    </row>
    <row r="33" customFormat="false" ht="15" hidden="false" customHeight="true" outlineLevel="0" collapsed="false">
      <c r="A33" s="32" t="s">
        <v>95</v>
      </c>
      <c r="B33" s="10" t="s">
        <v>96</v>
      </c>
      <c r="C33" s="9" t="s">
        <v>97</v>
      </c>
      <c r="D33" s="9"/>
      <c r="E33" s="10" t="s">
        <v>98</v>
      </c>
      <c r="F33" s="33" t="n">
        <v>12.236</v>
      </c>
      <c r="G33" s="33" t="n">
        <v>0</v>
      </c>
      <c r="H33" s="33" t="n">
        <f aca="false">F33*AO33</f>
        <v>0</v>
      </c>
      <c r="I33" s="33" t="n">
        <f aca="false">F33*AP33</f>
        <v>0</v>
      </c>
      <c r="J33" s="33" t="n">
        <f aca="false">F33*G33</f>
        <v>0</v>
      </c>
      <c r="K33" s="34" t="s">
        <v>55</v>
      </c>
      <c r="Z33" s="33" t="n">
        <f aca="false">IF(AQ33="5",BJ33,0)</f>
        <v>0</v>
      </c>
      <c r="AB33" s="33" t="n">
        <f aca="false">IF(AQ33="1",BH33,0)</f>
        <v>0</v>
      </c>
      <c r="AC33" s="33" t="n">
        <f aca="false">IF(AQ33="1",BI33,0)</f>
        <v>0</v>
      </c>
      <c r="AD33" s="33" t="n">
        <f aca="false">IF(AQ33="7",BH33,0)</f>
        <v>0</v>
      </c>
      <c r="AE33" s="33" t="n">
        <f aca="false">IF(AQ33="7",BI33,0)</f>
        <v>0</v>
      </c>
      <c r="AF33" s="33" t="n">
        <f aca="false">IF(AQ33="2",BH33,0)</f>
        <v>0</v>
      </c>
      <c r="AG33" s="33" t="n">
        <f aca="false">IF(AQ33="2",BI33,0)</f>
        <v>0</v>
      </c>
      <c r="AH33" s="33" t="n">
        <f aca="false">IF(AQ33="0",BJ33,0)</f>
        <v>0</v>
      </c>
      <c r="AI33" s="18"/>
      <c r="AJ33" s="33" t="n">
        <f aca="false">IF(AN33=0,J33,0)</f>
        <v>0</v>
      </c>
      <c r="AK33" s="33" t="n">
        <f aca="false">IF(AN33=12,J33,0)</f>
        <v>0</v>
      </c>
      <c r="AL33" s="33" t="n">
        <f aca="false">IF(AN33=21,J33,0)</f>
        <v>0</v>
      </c>
      <c r="AN33" s="33" t="n">
        <v>12</v>
      </c>
      <c r="AO33" s="33" t="n">
        <f aca="false">G33*0</f>
        <v>0</v>
      </c>
      <c r="AP33" s="33" t="n">
        <f aca="false">G33*(1-0)</f>
        <v>0</v>
      </c>
      <c r="AQ33" s="35" t="s">
        <v>51</v>
      </c>
      <c r="AV33" s="33" t="n">
        <f aca="false">AW33+AX33</f>
        <v>0</v>
      </c>
      <c r="AW33" s="33" t="n">
        <f aca="false">F33*AO33</f>
        <v>0</v>
      </c>
      <c r="AX33" s="33" t="n">
        <f aca="false">F33*AP33</f>
        <v>0</v>
      </c>
      <c r="AY33" s="35" t="s">
        <v>99</v>
      </c>
      <c r="AZ33" s="35" t="s">
        <v>86</v>
      </c>
      <c r="BA33" s="18" t="s">
        <v>57</v>
      </c>
      <c r="BC33" s="33" t="n">
        <f aca="false">AW33+AX33</f>
        <v>0</v>
      </c>
      <c r="BD33" s="33" t="n">
        <f aca="false">G33/(100-BE33)*100</f>
        <v>0</v>
      </c>
      <c r="BE33" s="33" t="n">
        <v>0</v>
      </c>
      <c r="BF33" s="33" t="n">
        <f aca="false">33</f>
        <v>33</v>
      </c>
      <c r="BH33" s="33" t="n">
        <f aca="false">F33*AO33</f>
        <v>0</v>
      </c>
      <c r="BI33" s="33" t="n">
        <f aca="false">F33*AP33</f>
        <v>0</v>
      </c>
      <c r="BJ33" s="33" t="n">
        <f aca="false">F33*G33</f>
        <v>0</v>
      </c>
      <c r="BK33" s="33"/>
      <c r="BL33" s="33" t="n">
        <v>13</v>
      </c>
      <c r="BW33" s="33" t="n">
        <v>12</v>
      </c>
      <c r="BX33" s="9" t="s">
        <v>97</v>
      </c>
    </row>
    <row r="34" customFormat="false" ht="15" hidden="false" customHeight="false" outlineLevel="0" collapsed="false">
      <c r="A34" s="36"/>
      <c r="C34" s="37" t="s">
        <v>100</v>
      </c>
      <c r="D34" s="37" t="s">
        <v>101</v>
      </c>
      <c r="F34" s="38" t="n">
        <v>12.236</v>
      </c>
      <c r="K34" s="39"/>
    </row>
    <row r="35" customFormat="false" ht="15" hidden="false" customHeight="true" outlineLevel="0" collapsed="false">
      <c r="A35" s="27"/>
      <c r="B35" s="28" t="s">
        <v>102</v>
      </c>
      <c r="C35" s="29" t="s">
        <v>103</v>
      </c>
      <c r="D35" s="29"/>
      <c r="E35" s="30" t="s">
        <v>4</v>
      </c>
      <c r="F35" s="30" t="s">
        <v>4</v>
      </c>
      <c r="G35" s="30" t="s">
        <v>4</v>
      </c>
      <c r="H35" s="2" t="n">
        <f aca="false">SUM(H36:H38)</f>
        <v>0</v>
      </c>
      <c r="I35" s="2" t="n">
        <f aca="false">SUM(I36:I38)</f>
        <v>0</v>
      </c>
      <c r="J35" s="2" t="n">
        <f aca="false">SUM(J36:J38)</f>
        <v>0</v>
      </c>
      <c r="K35" s="31"/>
      <c r="AI35" s="18"/>
      <c r="AS35" s="2" t="n">
        <f aca="false">SUM(AJ36:AJ38)</f>
        <v>0</v>
      </c>
      <c r="AT35" s="2" t="n">
        <f aca="false">SUM(AK36:AK38)</f>
        <v>0</v>
      </c>
      <c r="AU35" s="2" t="n">
        <f aca="false">SUM(AL36:AL38)</f>
        <v>0</v>
      </c>
    </row>
    <row r="36" customFormat="false" ht="15" hidden="false" customHeight="true" outlineLevel="0" collapsed="false">
      <c r="A36" s="32" t="s">
        <v>104</v>
      </c>
      <c r="B36" s="10" t="s">
        <v>105</v>
      </c>
      <c r="C36" s="9" t="s">
        <v>106</v>
      </c>
      <c r="D36" s="9"/>
      <c r="E36" s="10" t="s">
        <v>98</v>
      </c>
      <c r="F36" s="33" t="n">
        <v>12.236</v>
      </c>
      <c r="G36" s="33" t="n">
        <v>0</v>
      </c>
      <c r="H36" s="33" t="n">
        <f aca="false">F36*AO36</f>
        <v>0</v>
      </c>
      <c r="I36" s="33" t="n">
        <f aca="false">F36*AP36</f>
        <v>0</v>
      </c>
      <c r="J36" s="33" t="n">
        <f aca="false">F36*G36</f>
        <v>0</v>
      </c>
      <c r="K36" s="34" t="s">
        <v>84</v>
      </c>
      <c r="Z36" s="33" t="n">
        <f aca="false">IF(AQ36="5",BJ36,0)</f>
        <v>0</v>
      </c>
      <c r="AB36" s="33" t="n">
        <f aca="false">IF(AQ36="1",BH36,0)</f>
        <v>0</v>
      </c>
      <c r="AC36" s="33" t="n">
        <f aca="false">IF(AQ36="1",BI36,0)</f>
        <v>0</v>
      </c>
      <c r="AD36" s="33" t="n">
        <f aca="false">IF(AQ36="7",BH36,0)</f>
        <v>0</v>
      </c>
      <c r="AE36" s="33" t="n">
        <f aca="false">IF(AQ36="7",BI36,0)</f>
        <v>0</v>
      </c>
      <c r="AF36" s="33" t="n">
        <f aca="false">IF(AQ36="2",BH36,0)</f>
        <v>0</v>
      </c>
      <c r="AG36" s="33" t="n">
        <f aca="false">IF(AQ36="2",BI36,0)</f>
        <v>0</v>
      </c>
      <c r="AH36" s="33" t="n">
        <f aca="false">IF(AQ36="0",BJ36,0)</f>
        <v>0</v>
      </c>
      <c r="AI36" s="18"/>
      <c r="AJ36" s="33" t="n">
        <f aca="false">IF(AN36=0,J36,0)</f>
        <v>0</v>
      </c>
      <c r="AK36" s="33" t="n">
        <f aca="false">IF(AN36=12,J36,0)</f>
        <v>0</v>
      </c>
      <c r="AL36" s="33" t="n">
        <f aca="false">IF(AN36=21,J36,0)</f>
        <v>0</v>
      </c>
      <c r="AN36" s="33" t="n">
        <v>12</v>
      </c>
      <c r="AO36" s="33" t="n">
        <f aca="false">G36*0</f>
        <v>0</v>
      </c>
      <c r="AP36" s="33" t="n">
        <f aca="false">G36*(1-0)</f>
        <v>0</v>
      </c>
      <c r="AQ36" s="35" t="s">
        <v>51</v>
      </c>
      <c r="AV36" s="33" t="n">
        <f aca="false">AW36+AX36</f>
        <v>0</v>
      </c>
      <c r="AW36" s="33" t="n">
        <f aca="false">F36*AO36</f>
        <v>0</v>
      </c>
      <c r="AX36" s="33" t="n">
        <f aca="false">F36*AP36</f>
        <v>0</v>
      </c>
      <c r="AY36" s="35" t="s">
        <v>107</v>
      </c>
      <c r="AZ36" s="35" t="s">
        <v>86</v>
      </c>
      <c r="BA36" s="18" t="s">
        <v>57</v>
      </c>
      <c r="BC36" s="33" t="n">
        <f aca="false">AW36+AX36</f>
        <v>0</v>
      </c>
      <c r="BD36" s="33" t="n">
        <f aca="false">G36/(100-BE36)*100</f>
        <v>0</v>
      </c>
      <c r="BE36" s="33" t="n">
        <v>0</v>
      </c>
      <c r="BF36" s="33" t="n">
        <f aca="false">36</f>
        <v>36</v>
      </c>
      <c r="BH36" s="33" t="n">
        <f aca="false">F36*AO36</f>
        <v>0</v>
      </c>
      <c r="BI36" s="33" t="n">
        <f aca="false">F36*AP36</f>
        <v>0</v>
      </c>
      <c r="BJ36" s="33" t="n">
        <f aca="false">F36*G36</f>
        <v>0</v>
      </c>
      <c r="BK36" s="33"/>
      <c r="BL36" s="33" t="n">
        <v>16</v>
      </c>
      <c r="BW36" s="33" t="n">
        <v>12</v>
      </c>
      <c r="BX36" s="9" t="s">
        <v>106</v>
      </c>
    </row>
    <row r="37" customFormat="false" ht="15" hidden="false" customHeight="false" outlineLevel="0" collapsed="false">
      <c r="A37" s="36"/>
      <c r="C37" s="37" t="s">
        <v>108</v>
      </c>
      <c r="D37" s="37"/>
      <c r="F37" s="38" t="n">
        <v>12.236</v>
      </c>
      <c r="K37" s="39"/>
    </row>
    <row r="38" customFormat="false" ht="15" hidden="false" customHeight="true" outlineLevel="0" collapsed="false">
      <c r="A38" s="32" t="s">
        <v>78</v>
      </c>
      <c r="B38" s="10" t="s">
        <v>109</v>
      </c>
      <c r="C38" s="9" t="s">
        <v>110</v>
      </c>
      <c r="D38" s="9"/>
      <c r="E38" s="10" t="s">
        <v>98</v>
      </c>
      <c r="F38" s="33" t="n">
        <v>12.236</v>
      </c>
      <c r="G38" s="33" t="n">
        <v>0</v>
      </c>
      <c r="H38" s="33" t="n">
        <f aca="false">F38*AO38</f>
        <v>0</v>
      </c>
      <c r="I38" s="33" t="n">
        <f aca="false">F38*AP38</f>
        <v>0</v>
      </c>
      <c r="J38" s="33" t="n">
        <f aca="false">F38*G38</f>
        <v>0</v>
      </c>
      <c r="K38" s="34" t="s">
        <v>84</v>
      </c>
      <c r="Z38" s="33" t="n">
        <f aca="false">IF(AQ38="5",BJ38,0)</f>
        <v>0</v>
      </c>
      <c r="AB38" s="33" t="n">
        <f aca="false">IF(AQ38="1",BH38,0)</f>
        <v>0</v>
      </c>
      <c r="AC38" s="33" t="n">
        <f aca="false">IF(AQ38="1",BI38,0)</f>
        <v>0</v>
      </c>
      <c r="AD38" s="33" t="n">
        <f aca="false">IF(AQ38="7",BH38,0)</f>
        <v>0</v>
      </c>
      <c r="AE38" s="33" t="n">
        <f aca="false">IF(AQ38="7",BI38,0)</f>
        <v>0</v>
      </c>
      <c r="AF38" s="33" t="n">
        <f aca="false">IF(AQ38="2",BH38,0)</f>
        <v>0</v>
      </c>
      <c r="AG38" s="33" t="n">
        <f aca="false">IF(AQ38="2",BI38,0)</f>
        <v>0</v>
      </c>
      <c r="AH38" s="33" t="n">
        <f aca="false">IF(AQ38="0",BJ38,0)</f>
        <v>0</v>
      </c>
      <c r="AI38" s="18"/>
      <c r="AJ38" s="33" t="n">
        <f aca="false">IF(AN38=0,J38,0)</f>
        <v>0</v>
      </c>
      <c r="AK38" s="33" t="n">
        <f aca="false">IF(AN38=12,J38,0)</f>
        <v>0</v>
      </c>
      <c r="AL38" s="33" t="n">
        <f aca="false">IF(AN38=21,J38,0)</f>
        <v>0</v>
      </c>
      <c r="AN38" s="33" t="n">
        <v>12</v>
      </c>
      <c r="AO38" s="33" t="n">
        <f aca="false">G38*0</f>
        <v>0</v>
      </c>
      <c r="AP38" s="33" t="n">
        <f aca="false">G38*(1-0)</f>
        <v>0</v>
      </c>
      <c r="AQ38" s="35" t="s">
        <v>51</v>
      </c>
      <c r="AV38" s="33" t="n">
        <f aca="false">AW38+AX38</f>
        <v>0</v>
      </c>
      <c r="AW38" s="33" t="n">
        <f aca="false">F38*AO38</f>
        <v>0</v>
      </c>
      <c r="AX38" s="33" t="n">
        <f aca="false">F38*AP38</f>
        <v>0</v>
      </c>
      <c r="AY38" s="35" t="s">
        <v>107</v>
      </c>
      <c r="AZ38" s="35" t="s">
        <v>86</v>
      </c>
      <c r="BA38" s="18" t="s">
        <v>57</v>
      </c>
      <c r="BC38" s="33" t="n">
        <f aca="false">AW38+AX38</f>
        <v>0</v>
      </c>
      <c r="BD38" s="33" t="n">
        <f aca="false">G38/(100-BE38)*100</f>
        <v>0</v>
      </c>
      <c r="BE38" s="33" t="n">
        <v>0</v>
      </c>
      <c r="BF38" s="33" t="n">
        <f aca="false">38</f>
        <v>38</v>
      </c>
      <c r="BH38" s="33" t="n">
        <f aca="false">F38*AO38</f>
        <v>0</v>
      </c>
      <c r="BI38" s="33" t="n">
        <f aca="false">F38*AP38</f>
        <v>0</v>
      </c>
      <c r="BJ38" s="33" t="n">
        <f aca="false">F38*G38</f>
        <v>0</v>
      </c>
      <c r="BK38" s="33"/>
      <c r="BL38" s="33" t="n">
        <v>16</v>
      </c>
      <c r="BW38" s="33" t="n">
        <v>12</v>
      </c>
      <c r="BX38" s="9" t="s">
        <v>110</v>
      </c>
    </row>
    <row r="39" customFormat="false" ht="15" hidden="false" customHeight="false" outlineLevel="0" collapsed="false">
      <c r="A39" s="36"/>
      <c r="C39" s="37" t="s">
        <v>108</v>
      </c>
      <c r="D39" s="37" t="s">
        <v>111</v>
      </c>
      <c r="F39" s="38" t="n">
        <v>12.236</v>
      </c>
      <c r="K39" s="39"/>
    </row>
    <row r="40" customFormat="false" ht="15" hidden="false" customHeight="true" outlineLevel="0" collapsed="false">
      <c r="A40" s="27"/>
      <c r="B40" s="28" t="s">
        <v>112</v>
      </c>
      <c r="C40" s="29" t="s">
        <v>113</v>
      </c>
      <c r="D40" s="29"/>
      <c r="E40" s="30" t="s">
        <v>4</v>
      </c>
      <c r="F40" s="30" t="s">
        <v>4</v>
      </c>
      <c r="G40" s="30" t="s">
        <v>4</v>
      </c>
      <c r="H40" s="2" t="n">
        <f aca="false">SUM(H41:H41)</f>
        <v>0</v>
      </c>
      <c r="I40" s="2" t="n">
        <f aca="false">SUM(I41:I41)</f>
        <v>0</v>
      </c>
      <c r="J40" s="2" t="n">
        <f aca="false">SUM(J41:J41)</f>
        <v>0</v>
      </c>
      <c r="K40" s="31"/>
      <c r="AI40" s="18"/>
      <c r="AS40" s="2" t="n">
        <f aca="false">SUM(AJ41:AJ41)</f>
        <v>0</v>
      </c>
      <c r="AT40" s="2" t="n">
        <f aca="false">SUM(AK41:AK41)</f>
        <v>0</v>
      </c>
      <c r="AU40" s="2" t="n">
        <f aca="false">SUM(AL41:AL41)</f>
        <v>0</v>
      </c>
    </row>
    <row r="41" customFormat="false" ht="15" hidden="false" customHeight="true" outlineLevel="0" collapsed="false">
      <c r="A41" s="32" t="s">
        <v>114</v>
      </c>
      <c r="B41" s="10" t="s">
        <v>115</v>
      </c>
      <c r="C41" s="9" t="s">
        <v>116</v>
      </c>
      <c r="D41" s="9"/>
      <c r="E41" s="10" t="s">
        <v>98</v>
      </c>
      <c r="F41" s="33" t="n">
        <v>34.96</v>
      </c>
      <c r="G41" s="33" t="n">
        <v>0</v>
      </c>
      <c r="H41" s="33" t="n">
        <f aca="false">F41*AO41</f>
        <v>0</v>
      </c>
      <c r="I41" s="33" t="n">
        <f aca="false">F41*AP41</f>
        <v>0</v>
      </c>
      <c r="J41" s="33" t="n">
        <f aca="false">F41*G41</f>
        <v>0</v>
      </c>
      <c r="K41" s="34" t="s">
        <v>84</v>
      </c>
      <c r="Z41" s="33" t="n">
        <f aca="false">IF(AQ41="5",BJ41,0)</f>
        <v>0</v>
      </c>
      <c r="AB41" s="33" t="n">
        <f aca="false">IF(AQ41="1",BH41,0)</f>
        <v>0</v>
      </c>
      <c r="AC41" s="33" t="n">
        <f aca="false">IF(AQ41="1",BI41,0)</f>
        <v>0</v>
      </c>
      <c r="AD41" s="33" t="n">
        <f aca="false">IF(AQ41="7",BH41,0)</f>
        <v>0</v>
      </c>
      <c r="AE41" s="33" t="n">
        <f aca="false">IF(AQ41="7",BI41,0)</f>
        <v>0</v>
      </c>
      <c r="AF41" s="33" t="n">
        <f aca="false">IF(AQ41="2",BH41,0)</f>
        <v>0</v>
      </c>
      <c r="AG41" s="33" t="n">
        <f aca="false">IF(AQ41="2",BI41,0)</f>
        <v>0</v>
      </c>
      <c r="AH41" s="33" t="n">
        <f aca="false">IF(AQ41="0",BJ41,0)</f>
        <v>0</v>
      </c>
      <c r="AI41" s="18"/>
      <c r="AJ41" s="33" t="n">
        <f aca="false">IF(AN41=0,J41,0)</f>
        <v>0</v>
      </c>
      <c r="AK41" s="33" t="n">
        <f aca="false">IF(AN41=12,J41,0)</f>
        <v>0</v>
      </c>
      <c r="AL41" s="33" t="n">
        <f aca="false">IF(AN41=21,J41,0)</f>
        <v>0</v>
      </c>
      <c r="AN41" s="33" t="n">
        <v>12</v>
      </c>
      <c r="AO41" s="33" t="n">
        <f aca="false">G41*0</f>
        <v>0</v>
      </c>
      <c r="AP41" s="33" t="n">
        <f aca="false">G41*(1-0)</f>
        <v>0</v>
      </c>
      <c r="AQ41" s="35" t="s">
        <v>51</v>
      </c>
      <c r="AV41" s="33" t="n">
        <f aca="false">AW41+AX41</f>
        <v>0</v>
      </c>
      <c r="AW41" s="33" t="n">
        <f aca="false">F41*AO41</f>
        <v>0</v>
      </c>
      <c r="AX41" s="33" t="n">
        <f aca="false">F41*AP41</f>
        <v>0</v>
      </c>
      <c r="AY41" s="35" t="s">
        <v>117</v>
      </c>
      <c r="AZ41" s="35" t="s">
        <v>86</v>
      </c>
      <c r="BA41" s="18" t="s">
        <v>57</v>
      </c>
      <c r="BC41" s="33" t="n">
        <f aca="false">AW41+AX41</f>
        <v>0</v>
      </c>
      <c r="BD41" s="33" t="n">
        <f aca="false">G41/(100-BE41)*100</f>
        <v>0</v>
      </c>
      <c r="BE41" s="33" t="n">
        <v>0</v>
      </c>
      <c r="BF41" s="33" t="n">
        <f aca="false">41</f>
        <v>41</v>
      </c>
      <c r="BH41" s="33" t="n">
        <f aca="false">F41*AO41</f>
        <v>0</v>
      </c>
      <c r="BI41" s="33" t="n">
        <f aca="false">F41*AP41</f>
        <v>0</v>
      </c>
      <c r="BJ41" s="33" t="n">
        <f aca="false">F41*G41</f>
        <v>0</v>
      </c>
      <c r="BK41" s="33"/>
      <c r="BL41" s="33" t="n">
        <v>17</v>
      </c>
      <c r="BW41" s="33" t="n">
        <v>12</v>
      </c>
      <c r="BX41" s="9" t="s">
        <v>116</v>
      </c>
    </row>
    <row r="42" customFormat="false" ht="15" hidden="false" customHeight="false" outlineLevel="0" collapsed="false">
      <c r="A42" s="36"/>
      <c r="C42" s="37" t="s">
        <v>118</v>
      </c>
      <c r="D42" s="37" t="s">
        <v>111</v>
      </c>
      <c r="F42" s="38" t="n">
        <v>34.96</v>
      </c>
      <c r="K42" s="39"/>
    </row>
    <row r="43" customFormat="false" ht="15" hidden="false" customHeight="true" outlineLevel="0" collapsed="false">
      <c r="A43" s="27"/>
      <c r="B43" s="28" t="s">
        <v>119</v>
      </c>
      <c r="C43" s="29" t="s">
        <v>120</v>
      </c>
      <c r="D43" s="29"/>
      <c r="E43" s="30" t="s">
        <v>4</v>
      </c>
      <c r="F43" s="30" t="s">
        <v>4</v>
      </c>
      <c r="G43" s="30" t="s">
        <v>4</v>
      </c>
      <c r="H43" s="2" t="n">
        <f aca="false">SUM(H44:H44)</f>
        <v>0</v>
      </c>
      <c r="I43" s="2" t="n">
        <f aca="false">SUM(I44:I44)</f>
        <v>0</v>
      </c>
      <c r="J43" s="2" t="n">
        <f aca="false">SUM(J44:J44)</f>
        <v>0</v>
      </c>
      <c r="K43" s="31"/>
      <c r="AI43" s="18"/>
      <c r="AS43" s="2" t="n">
        <f aca="false">SUM(AJ44:AJ44)</f>
        <v>0</v>
      </c>
      <c r="AT43" s="2" t="n">
        <f aca="false">SUM(AK44:AK44)</f>
        <v>0</v>
      </c>
      <c r="AU43" s="2" t="n">
        <f aca="false">SUM(AL44:AL44)</f>
        <v>0</v>
      </c>
    </row>
    <row r="44" customFormat="false" ht="15" hidden="false" customHeight="true" outlineLevel="0" collapsed="false">
      <c r="A44" s="32" t="s">
        <v>93</v>
      </c>
      <c r="B44" s="10" t="s">
        <v>121</v>
      </c>
      <c r="C44" s="9" t="s">
        <v>122</v>
      </c>
      <c r="D44" s="9"/>
      <c r="E44" s="10" t="s">
        <v>83</v>
      </c>
      <c r="F44" s="33" t="n">
        <v>87.4</v>
      </c>
      <c r="G44" s="33" t="n">
        <v>0</v>
      </c>
      <c r="H44" s="33" t="n">
        <f aca="false">F44*AO44</f>
        <v>0</v>
      </c>
      <c r="I44" s="33" t="n">
        <f aca="false">F44*AP44</f>
        <v>0</v>
      </c>
      <c r="J44" s="33" t="n">
        <f aca="false">F44*G44</f>
        <v>0</v>
      </c>
      <c r="K44" s="34" t="s">
        <v>55</v>
      </c>
      <c r="Z44" s="33" t="n">
        <f aca="false">IF(AQ44="5",BJ44,0)</f>
        <v>0</v>
      </c>
      <c r="AB44" s="33" t="n">
        <f aca="false">IF(AQ44="1",BH44,0)</f>
        <v>0</v>
      </c>
      <c r="AC44" s="33" t="n">
        <f aca="false">IF(AQ44="1",BI44,0)</f>
        <v>0</v>
      </c>
      <c r="AD44" s="33" t="n">
        <f aca="false">IF(AQ44="7",BH44,0)</f>
        <v>0</v>
      </c>
      <c r="AE44" s="33" t="n">
        <f aca="false">IF(AQ44="7",BI44,0)</f>
        <v>0</v>
      </c>
      <c r="AF44" s="33" t="n">
        <f aca="false">IF(AQ44="2",BH44,0)</f>
        <v>0</v>
      </c>
      <c r="AG44" s="33" t="n">
        <f aca="false">IF(AQ44="2",BI44,0)</f>
        <v>0</v>
      </c>
      <c r="AH44" s="33" t="n">
        <f aca="false">IF(AQ44="0",BJ44,0)</f>
        <v>0</v>
      </c>
      <c r="AI44" s="18"/>
      <c r="AJ44" s="33" t="n">
        <f aca="false">IF(AN44=0,J44,0)</f>
        <v>0</v>
      </c>
      <c r="AK44" s="33" t="n">
        <f aca="false">IF(AN44=12,J44,0)</f>
        <v>0</v>
      </c>
      <c r="AL44" s="33" t="n">
        <f aca="false">IF(AN44=21,J44,0)</f>
        <v>0</v>
      </c>
      <c r="AN44" s="33" t="n">
        <v>12</v>
      </c>
      <c r="AO44" s="33" t="n">
        <f aca="false">G44*0.04130434</f>
        <v>0</v>
      </c>
      <c r="AP44" s="33" t="n">
        <f aca="false">G44*(1-0.04130434)</f>
        <v>0</v>
      </c>
      <c r="AQ44" s="35" t="s">
        <v>51</v>
      </c>
      <c r="AV44" s="33" t="n">
        <f aca="false">AW44+AX44</f>
        <v>0</v>
      </c>
      <c r="AW44" s="33" t="n">
        <f aca="false">F44*AO44</f>
        <v>0</v>
      </c>
      <c r="AX44" s="33" t="n">
        <f aca="false">F44*AP44</f>
        <v>0</v>
      </c>
      <c r="AY44" s="35" t="s">
        <v>123</v>
      </c>
      <c r="AZ44" s="35" t="s">
        <v>86</v>
      </c>
      <c r="BA44" s="18" t="s">
        <v>57</v>
      </c>
      <c r="BC44" s="33" t="n">
        <f aca="false">AW44+AX44</f>
        <v>0</v>
      </c>
      <c r="BD44" s="33" t="n">
        <f aca="false">G44/(100-BE44)*100</f>
        <v>0</v>
      </c>
      <c r="BE44" s="33" t="n">
        <v>0</v>
      </c>
      <c r="BF44" s="33" t="n">
        <f aca="false">44</f>
        <v>44</v>
      </c>
      <c r="BH44" s="33" t="n">
        <f aca="false">F44*AO44</f>
        <v>0</v>
      </c>
      <c r="BI44" s="33" t="n">
        <f aca="false">F44*AP44</f>
        <v>0</v>
      </c>
      <c r="BJ44" s="33" t="n">
        <f aca="false">F44*G44</f>
        <v>0</v>
      </c>
      <c r="BK44" s="33"/>
      <c r="BL44" s="33" t="n">
        <v>18</v>
      </c>
      <c r="BW44" s="33" t="n">
        <v>12</v>
      </c>
      <c r="BX44" s="9" t="s">
        <v>122</v>
      </c>
    </row>
    <row r="45" customFormat="false" ht="15" hidden="false" customHeight="false" outlineLevel="0" collapsed="false">
      <c r="A45" s="36"/>
      <c r="C45" s="37" t="s">
        <v>124</v>
      </c>
      <c r="D45" s="37"/>
      <c r="F45" s="38" t="n">
        <v>87.4</v>
      </c>
      <c r="K45" s="39"/>
    </row>
    <row r="46" customFormat="false" ht="15" hidden="false" customHeight="true" outlineLevel="0" collapsed="false">
      <c r="A46" s="27"/>
      <c r="B46" s="28" t="s">
        <v>125</v>
      </c>
      <c r="C46" s="29" t="s">
        <v>126</v>
      </c>
      <c r="D46" s="29"/>
      <c r="E46" s="30" t="s">
        <v>4</v>
      </c>
      <c r="F46" s="30" t="s">
        <v>4</v>
      </c>
      <c r="G46" s="30" t="s">
        <v>4</v>
      </c>
      <c r="H46" s="2" t="n">
        <f aca="false">SUM(H47:H47)</f>
        <v>0</v>
      </c>
      <c r="I46" s="2" t="n">
        <f aca="false">SUM(I47:I47)</f>
        <v>0</v>
      </c>
      <c r="J46" s="2" t="n">
        <f aca="false">SUM(J47:J47)</f>
        <v>0</v>
      </c>
      <c r="K46" s="31"/>
      <c r="AI46" s="18"/>
      <c r="AS46" s="2" t="n">
        <f aca="false">SUM(AJ47:AJ47)</f>
        <v>0</v>
      </c>
      <c r="AT46" s="2" t="n">
        <f aca="false">SUM(AK47:AK47)</f>
        <v>0</v>
      </c>
      <c r="AU46" s="2" t="n">
        <f aca="false">SUM(AL47:AL47)</f>
        <v>0</v>
      </c>
    </row>
    <row r="47" customFormat="false" ht="15" hidden="false" customHeight="true" outlineLevel="0" collapsed="false">
      <c r="A47" s="32" t="s">
        <v>127</v>
      </c>
      <c r="B47" s="10" t="s">
        <v>128</v>
      </c>
      <c r="C47" s="9" t="s">
        <v>129</v>
      </c>
      <c r="D47" s="9"/>
      <c r="E47" s="10" t="s">
        <v>98</v>
      </c>
      <c r="F47" s="33" t="n">
        <v>2.976</v>
      </c>
      <c r="G47" s="33" t="n">
        <v>0</v>
      </c>
      <c r="H47" s="33" t="n">
        <f aca="false">F47*AO47</f>
        <v>0</v>
      </c>
      <c r="I47" s="33" t="n">
        <f aca="false">F47*AP47</f>
        <v>0</v>
      </c>
      <c r="J47" s="33" t="n">
        <f aca="false">F47*G47</f>
        <v>0</v>
      </c>
      <c r="K47" s="34" t="s">
        <v>84</v>
      </c>
      <c r="Z47" s="33" t="n">
        <f aca="false">IF(AQ47="5",BJ47,0)</f>
        <v>0</v>
      </c>
      <c r="AB47" s="33" t="n">
        <f aca="false">IF(AQ47="1",BH47,0)</f>
        <v>0</v>
      </c>
      <c r="AC47" s="33" t="n">
        <f aca="false">IF(AQ47="1",BI47,0)</f>
        <v>0</v>
      </c>
      <c r="AD47" s="33" t="n">
        <f aca="false">IF(AQ47="7",BH47,0)</f>
        <v>0</v>
      </c>
      <c r="AE47" s="33" t="n">
        <f aca="false">IF(AQ47="7",BI47,0)</f>
        <v>0</v>
      </c>
      <c r="AF47" s="33" t="n">
        <f aca="false">IF(AQ47="2",BH47,0)</f>
        <v>0</v>
      </c>
      <c r="AG47" s="33" t="n">
        <f aca="false">IF(AQ47="2",BI47,0)</f>
        <v>0</v>
      </c>
      <c r="AH47" s="33" t="n">
        <f aca="false">IF(AQ47="0",BJ47,0)</f>
        <v>0</v>
      </c>
      <c r="AI47" s="18"/>
      <c r="AJ47" s="33" t="n">
        <f aca="false">IF(AN47=0,J47,0)</f>
        <v>0</v>
      </c>
      <c r="AK47" s="33" t="n">
        <f aca="false">IF(AN47=12,J47,0)</f>
        <v>0</v>
      </c>
      <c r="AL47" s="33" t="n">
        <f aca="false">IF(AN47=21,J47,0)</f>
        <v>0</v>
      </c>
      <c r="AN47" s="33" t="n">
        <v>12</v>
      </c>
      <c r="AO47" s="33" t="n">
        <f aca="false">G47*0.678827932</f>
        <v>0</v>
      </c>
      <c r="AP47" s="33" t="n">
        <f aca="false">G47*(1-0.678827932)</f>
        <v>0</v>
      </c>
      <c r="AQ47" s="35" t="s">
        <v>51</v>
      </c>
      <c r="AV47" s="33" t="n">
        <f aca="false">AW47+AX47</f>
        <v>0</v>
      </c>
      <c r="AW47" s="33" t="n">
        <f aca="false">F47*AO47</f>
        <v>0</v>
      </c>
      <c r="AX47" s="33" t="n">
        <f aca="false">F47*AP47</f>
        <v>0</v>
      </c>
      <c r="AY47" s="35" t="s">
        <v>130</v>
      </c>
      <c r="AZ47" s="35" t="s">
        <v>131</v>
      </c>
      <c r="BA47" s="18" t="s">
        <v>57</v>
      </c>
      <c r="BC47" s="33" t="n">
        <f aca="false">AW47+AX47</f>
        <v>0</v>
      </c>
      <c r="BD47" s="33" t="n">
        <f aca="false">G47/(100-BE47)*100</f>
        <v>0</v>
      </c>
      <c r="BE47" s="33" t="n">
        <v>0</v>
      </c>
      <c r="BF47" s="33" t="n">
        <f aca="false">47</f>
        <v>47</v>
      </c>
      <c r="BH47" s="33" t="n">
        <f aca="false">F47*AO47</f>
        <v>0</v>
      </c>
      <c r="BI47" s="33" t="n">
        <f aca="false">F47*AP47</f>
        <v>0</v>
      </c>
      <c r="BJ47" s="33" t="n">
        <f aca="false">F47*G47</f>
        <v>0</v>
      </c>
      <c r="BK47" s="33"/>
      <c r="BL47" s="33" t="n">
        <v>38</v>
      </c>
      <c r="BW47" s="33" t="n">
        <v>12</v>
      </c>
      <c r="BX47" s="9" t="s">
        <v>129</v>
      </c>
    </row>
    <row r="48" customFormat="false" ht="15" hidden="false" customHeight="false" outlineLevel="0" collapsed="false">
      <c r="A48" s="36"/>
      <c r="C48" s="37" t="s">
        <v>132</v>
      </c>
      <c r="D48" s="37"/>
      <c r="F48" s="38" t="n">
        <v>1.8</v>
      </c>
      <c r="K48" s="39"/>
    </row>
    <row r="49" customFormat="false" ht="15" hidden="false" customHeight="false" outlineLevel="0" collapsed="false">
      <c r="A49" s="36"/>
      <c r="C49" s="37" t="s">
        <v>133</v>
      </c>
      <c r="D49" s="37"/>
      <c r="F49" s="38" t="n">
        <v>1.176</v>
      </c>
      <c r="K49" s="39"/>
    </row>
    <row r="50" customFormat="false" ht="15" hidden="false" customHeight="true" outlineLevel="0" collapsed="false">
      <c r="A50" s="27"/>
      <c r="B50" s="28" t="s">
        <v>134</v>
      </c>
      <c r="C50" s="29" t="s">
        <v>135</v>
      </c>
      <c r="D50" s="29"/>
      <c r="E50" s="30" t="s">
        <v>4</v>
      </c>
      <c r="F50" s="30" t="s">
        <v>4</v>
      </c>
      <c r="G50" s="30" t="s">
        <v>4</v>
      </c>
      <c r="H50" s="2" t="n">
        <f aca="false">SUM(H51:H51)</f>
        <v>0</v>
      </c>
      <c r="I50" s="2" t="n">
        <f aca="false">SUM(I51:I51)</f>
        <v>0</v>
      </c>
      <c r="J50" s="2" t="n">
        <f aca="false">SUM(J51:J51)</f>
        <v>0</v>
      </c>
      <c r="K50" s="31"/>
      <c r="AI50" s="18"/>
      <c r="AS50" s="2" t="n">
        <f aca="false">SUM(AJ51:AJ51)</f>
        <v>0</v>
      </c>
      <c r="AT50" s="2" t="n">
        <f aca="false">SUM(AK51:AK51)</f>
        <v>0</v>
      </c>
      <c r="AU50" s="2" t="n">
        <f aca="false">SUM(AL51:AL51)</f>
        <v>0</v>
      </c>
    </row>
    <row r="51" customFormat="false" ht="15" hidden="false" customHeight="true" outlineLevel="0" collapsed="false">
      <c r="A51" s="32" t="s">
        <v>136</v>
      </c>
      <c r="B51" s="10" t="s">
        <v>137</v>
      </c>
      <c r="C51" s="9" t="s">
        <v>138</v>
      </c>
      <c r="D51" s="9"/>
      <c r="E51" s="10" t="s">
        <v>83</v>
      </c>
      <c r="F51" s="33" t="n">
        <v>26.1225</v>
      </c>
      <c r="G51" s="33" t="n">
        <v>0</v>
      </c>
      <c r="H51" s="33" t="n">
        <f aca="false">F51*AO51</f>
        <v>0</v>
      </c>
      <c r="I51" s="33" t="n">
        <f aca="false">F51*AP51</f>
        <v>0</v>
      </c>
      <c r="J51" s="33" t="n">
        <f aca="false">F51*G51</f>
        <v>0</v>
      </c>
      <c r="K51" s="34" t="s">
        <v>84</v>
      </c>
      <c r="Z51" s="33" t="n">
        <f aca="false">IF(AQ51="5",BJ51,0)</f>
        <v>0</v>
      </c>
      <c r="AB51" s="33" t="n">
        <f aca="false">IF(AQ51="1",BH51,0)</f>
        <v>0</v>
      </c>
      <c r="AC51" s="33" t="n">
        <f aca="false">IF(AQ51="1",BI51,0)</f>
        <v>0</v>
      </c>
      <c r="AD51" s="33" t="n">
        <f aca="false">IF(AQ51="7",BH51,0)</f>
        <v>0</v>
      </c>
      <c r="AE51" s="33" t="n">
        <f aca="false">IF(AQ51="7",BI51,0)</f>
        <v>0</v>
      </c>
      <c r="AF51" s="33" t="n">
        <f aca="false">IF(AQ51="2",BH51,0)</f>
        <v>0</v>
      </c>
      <c r="AG51" s="33" t="n">
        <f aca="false">IF(AQ51="2",BI51,0)</f>
        <v>0</v>
      </c>
      <c r="AH51" s="33" t="n">
        <f aca="false">IF(AQ51="0",BJ51,0)</f>
        <v>0</v>
      </c>
      <c r="AI51" s="18"/>
      <c r="AJ51" s="33" t="n">
        <f aca="false">IF(AN51=0,J51,0)</f>
        <v>0</v>
      </c>
      <c r="AK51" s="33" t="n">
        <f aca="false">IF(AN51=12,J51,0)</f>
        <v>0</v>
      </c>
      <c r="AL51" s="33" t="n">
        <f aca="false">IF(AN51=21,J51,0)</f>
        <v>0</v>
      </c>
      <c r="AN51" s="33" t="n">
        <v>12</v>
      </c>
      <c r="AO51" s="33" t="n">
        <f aca="false">G51*0.388655697</f>
        <v>0</v>
      </c>
      <c r="AP51" s="33" t="n">
        <f aca="false">G51*(1-0.388655697)</f>
        <v>0</v>
      </c>
      <c r="AQ51" s="35" t="s">
        <v>51</v>
      </c>
      <c r="AV51" s="33" t="n">
        <f aca="false">AW51+AX51</f>
        <v>0</v>
      </c>
      <c r="AW51" s="33" t="n">
        <f aca="false">F51*AO51</f>
        <v>0</v>
      </c>
      <c r="AX51" s="33" t="n">
        <f aca="false">F51*AP51</f>
        <v>0</v>
      </c>
      <c r="AY51" s="35" t="s">
        <v>139</v>
      </c>
      <c r="AZ51" s="35" t="s">
        <v>140</v>
      </c>
      <c r="BA51" s="18" t="s">
        <v>57</v>
      </c>
      <c r="BC51" s="33" t="n">
        <f aca="false">AW51+AX51</f>
        <v>0</v>
      </c>
      <c r="BD51" s="33" t="n">
        <f aca="false">G51/(100-BE51)*100</f>
        <v>0</v>
      </c>
      <c r="BE51" s="33" t="n">
        <v>0</v>
      </c>
      <c r="BF51" s="33" t="n">
        <f aca="false">51</f>
        <v>51</v>
      </c>
      <c r="BH51" s="33" t="n">
        <f aca="false">F51*AO51</f>
        <v>0</v>
      </c>
      <c r="BI51" s="33" t="n">
        <f aca="false">F51*AP51</f>
        <v>0</v>
      </c>
      <c r="BJ51" s="33" t="n">
        <f aca="false">F51*G51</f>
        <v>0</v>
      </c>
      <c r="BK51" s="33"/>
      <c r="BL51" s="33" t="n">
        <v>41</v>
      </c>
      <c r="BW51" s="33" t="n">
        <v>12</v>
      </c>
      <c r="BX51" s="9" t="s">
        <v>138</v>
      </c>
    </row>
    <row r="52" customFormat="false" ht="15" hidden="false" customHeight="false" outlineLevel="0" collapsed="false">
      <c r="A52" s="36"/>
      <c r="C52" s="37" t="s">
        <v>141</v>
      </c>
      <c r="D52" s="37" t="s">
        <v>142</v>
      </c>
      <c r="F52" s="38" t="n">
        <v>26.1225</v>
      </c>
      <c r="K52" s="39"/>
    </row>
    <row r="53" customFormat="false" ht="15" hidden="false" customHeight="false" outlineLevel="0" collapsed="false">
      <c r="A53" s="36"/>
      <c r="C53" s="37"/>
      <c r="D53" s="37" t="s">
        <v>143</v>
      </c>
      <c r="F53" s="38" t="n">
        <v>0</v>
      </c>
      <c r="K53" s="39"/>
    </row>
    <row r="54" customFormat="false" ht="15" hidden="false" customHeight="true" outlineLevel="0" collapsed="false">
      <c r="A54" s="27"/>
      <c r="B54" s="28" t="s">
        <v>144</v>
      </c>
      <c r="C54" s="29" t="s">
        <v>145</v>
      </c>
      <c r="D54" s="29"/>
      <c r="E54" s="30" t="s">
        <v>4</v>
      </c>
      <c r="F54" s="30" t="s">
        <v>4</v>
      </c>
      <c r="G54" s="30" t="s">
        <v>4</v>
      </c>
      <c r="H54" s="2" t="n">
        <f aca="false">SUM(H55:H67)</f>
        <v>0</v>
      </c>
      <c r="I54" s="2" t="n">
        <f aca="false">SUM(I55:I67)</f>
        <v>0</v>
      </c>
      <c r="J54" s="2" t="n">
        <f aca="false">SUM(J55:J67)</f>
        <v>0</v>
      </c>
      <c r="K54" s="31"/>
      <c r="AI54" s="18"/>
      <c r="AS54" s="2" t="n">
        <f aca="false">SUM(AJ55:AJ67)</f>
        <v>0</v>
      </c>
      <c r="AT54" s="2" t="n">
        <f aca="false">SUM(AK55:AK67)</f>
        <v>0</v>
      </c>
      <c r="AU54" s="2" t="n">
        <f aca="false">SUM(AL55:AL67)</f>
        <v>0</v>
      </c>
    </row>
    <row r="55" customFormat="false" ht="15" hidden="false" customHeight="true" outlineLevel="0" collapsed="false">
      <c r="A55" s="32" t="s">
        <v>102</v>
      </c>
      <c r="B55" s="10" t="s">
        <v>146</v>
      </c>
      <c r="C55" s="9" t="s">
        <v>147</v>
      </c>
      <c r="D55" s="9"/>
      <c r="E55" s="10" t="s">
        <v>83</v>
      </c>
      <c r="F55" s="33" t="n">
        <v>43.7</v>
      </c>
      <c r="G55" s="33" t="n">
        <v>0</v>
      </c>
      <c r="H55" s="33" t="n">
        <f aca="false">F55*AO55</f>
        <v>0</v>
      </c>
      <c r="I55" s="33" t="n">
        <f aca="false">F55*AP55</f>
        <v>0</v>
      </c>
      <c r="J55" s="33" t="n">
        <f aca="false">F55*G55</f>
        <v>0</v>
      </c>
      <c r="K55" s="34" t="s">
        <v>55</v>
      </c>
      <c r="Z55" s="33" t="n">
        <f aca="false">IF(AQ55="5",BJ55,0)</f>
        <v>0</v>
      </c>
      <c r="AB55" s="33" t="n">
        <f aca="false">IF(AQ55="1",BH55,0)</f>
        <v>0</v>
      </c>
      <c r="AC55" s="33" t="n">
        <f aca="false">IF(AQ55="1",BI55,0)</f>
        <v>0</v>
      </c>
      <c r="AD55" s="33" t="n">
        <f aca="false">IF(AQ55="7",BH55,0)</f>
        <v>0</v>
      </c>
      <c r="AE55" s="33" t="n">
        <f aca="false">IF(AQ55="7",BI55,0)</f>
        <v>0</v>
      </c>
      <c r="AF55" s="33" t="n">
        <f aca="false">IF(AQ55="2",BH55,0)</f>
        <v>0</v>
      </c>
      <c r="AG55" s="33" t="n">
        <f aca="false">IF(AQ55="2",BI55,0)</f>
        <v>0</v>
      </c>
      <c r="AH55" s="33" t="n">
        <f aca="false">IF(AQ55="0",BJ55,0)</f>
        <v>0</v>
      </c>
      <c r="AI55" s="18"/>
      <c r="AJ55" s="33" t="n">
        <f aca="false">IF(AN55=0,J55,0)</f>
        <v>0</v>
      </c>
      <c r="AK55" s="33" t="n">
        <f aca="false">IF(AN55=12,J55,0)</f>
        <v>0</v>
      </c>
      <c r="AL55" s="33" t="n">
        <f aca="false">IF(AN55=21,J55,0)</f>
        <v>0</v>
      </c>
      <c r="AN55" s="33" t="n">
        <v>12</v>
      </c>
      <c r="AO55" s="33" t="n">
        <f aca="false">G55*0.615624274</f>
        <v>0</v>
      </c>
      <c r="AP55" s="33" t="n">
        <f aca="false">G55*(1-0.615624274)</f>
        <v>0</v>
      </c>
      <c r="AQ55" s="35" t="s">
        <v>51</v>
      </c>
      <c r="AV55" s="33" t="n">
        <f aca="false">AW55+AX55</f>
        <v>0</v>
      </c>
      <c r="AW55" s="33" t="n">
        <f aca="false">F55*AO55</f>
        <v>0</v>
      </c>
      <c r="AX55" s="33" t="n">
        <f aca="false">F55*AP55</f>
        <v>0</v>
      </c>
      <c r="AY55" s="35" t="s">
        <v>148</v>
      </c>
      <c r="AZ55" s="35" t="s">
        <v>149</v>
      </c>
      <c r="BA55" s="18" t="s">
        <v>57</v>
      </c>
      <c r="BC55" s="33" t="n">
        <f aca="false">AW55+AX55</f>
        <v>0</v>
      </c>
      <c r="BD55" s="33" t="n">
        <f aca="false">G55/(100-BE55)*100</f>
        <v>0</v>
      </c>
      <c r="BE55" s="33" t="n">
        <v>0</v>
      </c>
      <c r="BF55" s="33" t="n">
        <f aca="false">55</f>
        <v>55</v>
      </c>
      <c r="BH55" s="33" t="n">
        <f aca="false">F55*AO55</f>
        <v>0</v>
      </c>
      <c r="BI55" s="33" t="n">
        <f aca="false">F55*AP55</f>
        <v>0</v>
      </c>
      <c r="BJ55" s="33" t="n">
        <f aca="false">F55*G55</f>
        <v>0</v>
      </c>
      <c r="BK55" s="33"/>
      <c r="BL55" s="33" t="n">
        <v>59</v>
      </c>
      <c r="BW55" s="33" t="n">
        <v>12</v>
      </c>
      <c r="BX55" s="9" t="s">
        <v>147</v>
      </c>
    </row>
    <row r="56" customFormat="false" ht="15" hidden="false" customHeight="false" outlineLevel="0" collapsed="false">
      <c r="A56" s="36"/>
      <c r="C56" s="37" t="s">
        <v>150</v>
      </c>
      <c r="D56" s="37" t="s">
        <v>151</v>
      </c>
      <c r="F56" s="38" t="n">
        <v>43.7</v>
      </c>
      <c r="K56" s="39"/>
    </row>
    <row r="57" customFormat="false" ht="15" hidden="false" customHeight="true" outlineLevel="0" collapsed="false">
      <c r="A57" s="32" t="s">
        <v>112</v>
      </c>
      <c r="B57" s="10" t="s">
        <v>152</v>
      </c>
      <c r="C57" s="9" t="s">
        <v>153</v>
      </c>
      <c r="D57" s="9"/>
      <c r="E57" s="10" t="s">
        <v>83</v>
      </c>
      <c r="F57" s="33" t="n">
        <v>16.665</v>
      </c>
      <c r="G57" s="33" t="n">
        <v>0</v>
      </c>
      <c r="H57" s="33" t="n">
        <f aca="false">F57*AO57</f>
        <v>0</v>
      </c>
      <c r="I57" s="33" t="n">
        <f aca="false">F57*AP57</f>
        <v>0</v>
      </c>
      <c r="J57" s="33" t="n">
        <f aca="false">F57*G57</f>
        <v>0</v>
      </c>
      <c r="K57" s="34" t="s">
        <v>84</v>
      </c>
      <c r="Z57" s="33" t="n">
        <f aca="false">IF(AQ57="5",BJ57,0)</f>
        <v>0</v>
      </c>
      <c r="AB57" s="33" t="n">
        <f aca="false">IF(AQ57="1",BH57,0)</f>
        <v>0</v>
      </c>
      <c r="AC57" s="33" t="n">
        <f aca="false">IF(AQ57="1",BI57,0)</f>
        <v>0</v>
      </c>
      <c r="AD57" s="33" t="n">
        <f aca="false">IF(AQ57="7",BH57,0)</f>
        <v>0</v>
      </c>
      <c r="AE57" s="33" t="n">
        <f aca="false">IF(AQ57="7",BI57,0)</f>
        <v>0</v>
      </c>
      <c r="AF57" s="33" t="n">
        <f aca="false">IF(AQ57="2",BH57,0)</f>
        <v>0</v>
      </c>
      <c r="AG57" s="33" t="n">
        <f aca="false">IF(AQ57="2",BI57,0)</f>
        <v>0</v>
      </c>
      <c r="AH57" s="33" t="n">
        <f aca="false">IF(AQ57="0",BJ57,0)</f>
        <v>0</v>
      </c>
      <c r="AI57" s="18"/>
      <c r="AJ57" s="33" t="n">
        <f aca="false">IF(AN57=0,J57,0)</f>
        <v>0</v>
      </c>
      <c r="AK57" s="33" t="n">
        <f aca="false">IF(AN57=12,J57,0)</f>
        <v>0</v>
      </c>
      <c r="AL57" s="33" t="n">
        <f aca="false">IF(AN57=21,J57,0)</f>
        <v>0</v>
      </c>
      <c r="AN57" s="33" t="n">
        <v>12</v>
      </c>
      <c r="AO57" s="33" t="n">
        <f aca="false">G57*0.149452055</f>
        <v>0</v>
      </c>
      <c r="AP57" s="33" t="n">
        <f aca="false">G57*(1-0.149452055)</f>
        <v>0</v>
      </c>
      <c r="AQ57" s="35" t="s">
        <v>51</v>
      </c>
      <c r="AV57" s="33" t="n">
        <f aca="false">AW57+AX57</f>
        <v>0</v>
      </c>
      <c r="AW57" s="33" t="n">
        <f aca="false">F57*AO57</f>
        <v>0</v>
      </c>
      <c r="AX57" s="33" t="n">
        <f aca="false">F57*AP57</f>
        <v>0</v>
      </c>
      <c r="AY57" s="35" t="s">
        <v>148</v>
      </c>
      <c r="AZ57" s="35" t="s">
        <v>149</v>
      </c>
      <c r="BA57" s="18" t="s">
        <v>57</v>
      </c>
      <c r="BC57" s="33" t="n">
        <f aca="false">AW57+AX57</f>
        <v>0</v>
      </c>
      <c r="BD57" s="33" t="n">
        <f aca="false">G57/(100-BE57)*100</f>
        <v>0</v>
      </c>
      <c r="BE57" s="33" t="n">
        <v>0</v>
      </c>
      <c r="BF57" s="33" t="n">
        <f aca="false">57</f>
        <v>57</v>
      </c>
      <c r="BH57" s="33" t="n">
        <f aca="false">F57*AO57</f>
        <v>0</v>
      </c>
      <c r="BI57" s="33" t="n">
        <f aca="false">F57*AP57</f>
        <v>0</v>
      </c>
      <c r="BJ57" s="33" t="n">
        <f aca="false">F57*G57</f>
        <v>0</v>
      </c>
      <c r="BK57" s="33"/>
      <c r="BL57" s="33" t="n">
        <v>59</v>
      </c>
      <c r="BW57" s="33" t="n">
        <v>12</v>
      </c>
      <c r="BX57" s="9" t="s">
        <v>153</v>
      </c>
    </row>
    <row r="58" customFormat="false" ht="15" hidden="false" customHeight="false" outlineLevel="0" collapsed="false">
      <c r="A58" s="36"/>
      <c r="C58" s="37" t="s">
        <v>154</v>
      </c>
      <c r="D58" s="37"/>
      <c r="F58" s="38" t="n">
        <v>11.52</v>
      </c>
      <c r="K58" s="39"/>
    </row>
    <row r="59" customFormat="false" ht="15" hidden="false" customHeight="false" outlineLevel="0" collapsed="false">
      <c r="A59" s="36"/>
      <c r="C59" s="37" t="s">
        <v>87</v>
      </c>
      <c r="D59" s="37"/>
      <c r="F59" s="38" t="n">
        <v>5.145</v>
      </c>
      <c r="K59" s="39"/>
    </row>
    <row r="60" customFormat="false" ht="15" hidden="false" customHeight="true" outlineLevel="0" collapsed="false">
      <c r="A60" s="32" t="s">
        <v>119</v>
      </c>
      <c r="B60" s="10" t="s">
        <v>155</v>
      </c>
      <c r="C60" s="9" t="s">
        <v>156</v>
      </c>
      <c r="D60" s="9"/>
      <c r="E60" s="10" t="s">
        <v>83</v>
      </c>
      <c r="F60" s="33" t="n">
        <v>17.316</v>
      </c>
      <c r="G60" s="33" t="n">
        <v>0</v>
      </c>
      <c r="H60" s="33" t="n">
        <f aca="false">F60*AO60</f>
        <v>0</v>
      </c>
      <c r="I60" s="33" t="n">
        <f aca="false">F60*AP60</f>
        <v>0</v>
      </c>
      <c r="J60" s="33" t="n">
        <f aca="false">F60*G60</f>
        <v>0</v>
      </c>
      <c r="K60" s="34" t="s">
        <v>84</v>
      </c>
      <c r="Z60" s="33" t="n">
        <f aca="false">IF(AQ60="5",BJ60,0)</f>
        <v>0</v>
      </c>
      <c r="AB60" s="33" t="n">
        <f aca="false">IF(AQ60="1",BH60,0)</f>
        <v>0</v>
      </c>
      <c r="AC60" s="33" t="n">
        <f aca="false">IF(AQ60="1",BI60,0)</f>
        <v>0</v>
      </c>
      <c r="AD60" s="33" t="n">
        <f aca="false">IF(AQ60="7",BH60,0)</f>
        <v>0</v>
      </c>
      <c r="AE60" s="33" t="n">
        <f aca="false">IF(AQ60="7",BI60,0)</f>
        <v>0</v>
      </c>
      <c r="AF60" s="33" t="n">
        <f aca="false">IF(AQ60="2",BH60,0)</f>
        <v>0</v>
      </c>
      <c r="AG60" s="33" t="n">
        <f aca="false">IF(AQ60="2",BI60,0)</f>
        <v>0</v>
      </c>
      <c r="AH60" s="33" t="n">
        <f aca="false">IF(AQ60="0",BJ60,0)</f>
        <v>0</v>
      </c>
      <c r="AI60" s="18"/>
      <c r="AJ60" s="33" t="n">
        <f aca="false">IF(AN60=0,J60,0)</f>
        <v>0</v>
      </c>
      <c r="AK60" s="33" t="n">
        <f aca="false">IF(AN60=12,J60,0)</f>
        <v>0</v>
      </c>
      <c r="AL60" s="33" t="n">
        <f aca="false">IF(AN60=21,J60,0)</f>
        <v>0</v>
      </c>
      <c r="AN60" s="33" t="n">
        <v>12</v>
      </c>
      <c r="AO60" s="33" t="n">
        <f aca="false">G60*1</f>
        <v>0</v>
      </c>
      <c r="AP60" s="33" t="n">
        <f aca="false">G60*(1-1)</f>
        <v>0</v>
      </c>
      <c r="AQ60" s="35" t="s">
        <v>51</v>
      </c>
      <c r="AV60" s="33" t="n">
        <f aca="false">AW60+AX60</f>
        <v>0</v>
      </c>
      <c r="AW60" s="33" t="n">
        <f aca="false">F60*AO60</f>
        <v>0</v>
      </c>
      <c r="AX60" s="33" t="n">
        <f aca="false">F60*AP60</f>
        <v>0</v>
      </c>
      <c r="AY60" s="35" t="s">
        <v>148</v>
      </c>
      <c r="AZ60" s="35" t="s">
        <v>149</v>
      </c>
      <c r="BA60" s="18" t="s">
        <v>57</v>
      </c>
      <c r="BC60" s="33" t="n">
        <f aca="false">AW60+AX60</f>
        <v>0</v>
      </c>
      <c r="BD60" s="33" t="n">
        <f aca="false">G60/(100-BE60)*100</f>
        <v>0</v>
      </c>
      <c r="BE60" s="33" t="n">
        <v>0</v>
      </c>
      <c r="BF60" s="33" t="n">
        <f aca="false">60</f>
        <v>60</v>
      </c>
      <c r="BH60" s="33" t="n">
        <f aca="false">F60*AO60</f>
        <v>0</v>
      </c>
      <c r="BI60" s="33" t="n">
        <f aca="false">F60*AP60</f>
        <v>0</v>
      </c>
      <c r="BJ60" s="33" t="n">
        <f aca="false">F60*G60</f>
        <v>0</v>
      </c>
      <c r="BK60" s="33"/>
      <c r="BL60" s="33" t="n">
        <v>59</v>
      </c>
      <c r="BW60" s="33" t="n">
        <v>12</v>
      </c>
      <c r="BX60" s="9" t="s">
        <v>156</v>
      </c>
    </row>
    <row r="61" customFormat="false" ht="15" hidden="false" customHeight="false" outlineLevel="0" collapsed="false">
      <c r="A61" s="36"/>
      <c r="C61" s="37" t="s">
        <v>157</v>
      </c>
      <c r="D61" s="37" t="s">
        <v>158</v>
      </c>
      <c r="F61" s="38" t="n">
        <v>16.65</v>
      </c>
      <c r="K61" s="39"/>
    </row>
    <row r="62" customFormat="false" ht="15" hidden="false" customHeight="false" outlineLevel="0" collapsed="false">
      <c r="A62" s="36"/>
      <c r="C62" s="37" t="s">
        <v>159</v>
      </c>
      <c r="D62" s="37"/>
      <c r="F62" s="38" t="n">
        <v>0.666</v>
      </c>
      <c r="K62" s="39"/>
    </row>
    <row r="63" customFormat="false" ht="15" hidden="false" customHeight="true" outlineLevel="0" collapsed="false">
      <c r="A63" s="32" t="s">
        <v>160</v>
      </c>
      <c r="B63" s="10" t="s">
        <v>161</v>
      </c>
      <c r="C63" s="9" t="s">
        <v>162</v>
      </c>
      <c r="D63" s="9"/>
      <c r="E63" s="10" t="s">
        <v>163</v>
      </c>
      <c r="F63" s="33" t="n">
        <v>2</v>
      </c>
      <c r="G63" s="33" t="n">
        <v>0</v>
      </c>
      <c r="H63" s="33" t="n">
        <f aca="false">F63*AO63</f>
        <v>0</v>
      </c>
      <c r="I63" s="33" t="n">
        <f aca="false">F63*AP63</f>
        <v>0</v>
      </c>
      <c r="J63" s="33" t="n">
        <f aca="false">F63*G63</f>
        <v>0</v>
      </c>
      <c r="K63" s="34" t="s">
        <v>84</v>
      </c>
      <c r="Z63" s="33" t="n">
        <f aca="false">IF(AQ63="5",BJ63,0)</f>
        <v>0</v>
      </c>
      <c r="AB63" s="33" t="n">
        <f aca="false">IF(AQ63="1",BH63,0)</f>
        <v>0</v>
      </c>
      <c r="AC63" s="33" t="n">
        <f aca="false">IF(AQ63="1",BI63,0)</f>
        <v>0</v>
      </c>
      <c r="AD63" s="33" t="n">
        <f aca="false">IF(AQ63="7",BH63,0)</f>
        <v>0</v>
      </c>
      <c r="AE63" s="33" t="n">
        <f aca="false">IF(AQ63="7",BI63,0)</f>
        <v>0</v>
      </c>
      <c r="AF63" s="33" t="n">
        <f aca="false">IF(AQ63="2",BH63,0)</f>
        <v>0</v>
      </c>
      <c r="AG63" s="33" t="n">
        <f aca="false">IF(AQ63="2",BI63,0)</f>
        <v>0</v>
      </c>
      <c r="AH63" s="33" t="n">
        <f aca="false">IF(AQ63="0",BJ63,0)</f>
        <v>0</v>
      </c>
      <c r="AI63" s="18"/>
      <c r="AJ63" s="33" t="n">
        <f aca="false">IF(AN63=0,J63,0)</f>
        <v>0</v>
      </c>
      <c r="AK63" s="33" t="n">
        <f aca="false">IF(AN63=12,J63,0)</f>
        <v>0</v>
      </c>
      <c r="AL63" s="33" t="n">
        <f aca="false">IF(AN63=21,J63,0)</f>
        <v>0</v>
      </c>
      <c r="AN63" s="33" t="n">
        <v>12</v>
      </c>
      <c r="AO63" s="33" t="n">
        <f aca="false">G63*0.981925788</f>
        <v>0</v>
      </c>
      <c r="AP63" s="33" t="n">
        <f aca="false">G63*(1-0.981925788)</f>
        <v>0</v>
      </c>
      <c r="AQ63" s="35" t="s">
        <v>51</v>
      </c>
      <c r="AV63" s="33" t="n">
        <f aca="false">AW63+AX63</f>
        <v>0</v>
      </c>
      <c r="AW63" s="33" t="n">
        <f aca="false">F63*AO63</f>
        <v>0</v>
      </c>
      <c r="AX63" s="33" t="n">
        <f aca="false">F63*AP63</f>
        <v>0</v>
      </c>
      <c r="AY63" s="35" t="s">
        <v>148</v>
      </c>
      <c r="AZ63" s="35" t="s">
        <v>149</v>
      </c>
      <c r="BA63" s="18" t="s">
        <v>57</v>
      </c>
      <c r="BC63" s="33" t="n">
        <f aca="false">AW63+AX63</f>
        <v>0</v>
      </c>
      <c r="BD63" s="33" t="n">
        <f aca="false">G63/(100-BE63)*100</f>
        <v>0</v>
      </c>
      <c r="BE63" s="33" t="n">
        <v>0</v>
      </c>
      <c r="BF63" s="33" t="n">
        <f aca="false">63</f>
        <v>63</v>
      </c>
      <c r="BH63" s="33" t="n">
        <f aca="false">F63*AO63</f>
        <v>0</v>
      </c>
      <c r="BI63" s="33" t="n">
        <f aca="false">F63*AP63</f>
        <v>0</v>
      </c>
      <c r="BJ63" s="33" t="n">
        <f aca="false">F63*G63</f>
        <v>0</v>
      </c>
      <c r="BK63" s="33"/>
      <c r="BL63" s="33" t="n">
        <v>59</v>
      </c>
      <c r="BW63" s="33" t="n">
        <v>12</v>
      </c>
      <c r="BX63" s="9" t="s">
        <v>162</v>
      </c>
    </row>
    <row r="64" customFormat="false" ht="23.85" hidden="false" customHeight="false" outlineLevel="0" collapsed="false">
      <c r="A64" s="36"/>
      <c r="C64" s="37" t="s">
        <v>58</v>
      </c>
      <c r="D64" s="40" t="s">
        <v>164</v>
      </c>
      <c r="F64" s="38" t="n">
        <v>2</v>
      </c>
      <c r="K64" s="39"/>
    </row>
    <row r="65" customFormat="false" ht="15" hidden="false" customHeight="true" outlineLevel="0" collapsed="false">
      <c r="A65" s="32" t="s">
        <v>165</v>
      </c>
      <c r="B65" s="10" t="s">
        <v>166</v>
      </c>
      <c r="C65" s="9" t="s">
        <v>167</v>
      </c>
      <c r="D65" s="9"/>
      <c r="E65" s="10" t="s">
        <v>163</v>
      </c>
      <c r="F65" s="33" t="n">
        <v>1</v>
      </c>
      <c r="G65" s="33" t="n">
        <v>0</v>
      </c>
      <c r="H65" s="33" t="n">
        <f aca="false">F65*AO65</f>
        <v>0</v>
      </c>
      <c r="I65" s="33" t="n">
        <f aca="false">F65*AP65</f>
        <v>0</v>
      </c>
      <c r="J65" s="33" t="n">
        <f aca="false">F65*G65</f>
        <v>0</v>
      </c>
      <c r="K65" s="34" t="s">
        <v>84</v>
      </c>
      <c r="Z65" s="33" t="n">
        <f aca="false">IF(AQ65="5",BJ65,0)</f>
        <v>0</v>
      </c>
      <c r="AB65" s="33" t="n">
        <f aca="false">IF(AQ65="1",BH65,0)</f>
        <v>0</v>
      </c>
      <c r="AC65" s="33" t="n">
        <f aca="false">IF(AQ65="1",BI65,0)</f>
        <v>0</v>
      </c>
      <c r="AD65" s="33" t="n">
        <f aca="false">IF(AQ65="7",BH65,0)</f>
        <v>0</v>
      </c>
      <c r="AE65" s="33" t="n">
        <f aca="false">IF(AQ65="7",BI65,0)</f>
        <v>0</v>
      </c>
      <c r="AF65" s="33" t="n">
        <f aca="false">IF(AQ65="2",BH65,0)</f>
        <v>0</v>
      </c>
      <c r="AG65" s="33" t="n">
        <f aca="false">IF(AQ65="2",BI65,0)</f>
        <v>0</v>
      </c>
      <c r="AH65" s="33" t="n">
        <f aca="false">IF(AQ65="0",BJ65,0)</f>
        <v>0</v>
      </c>
      <c r="AI65" s="18"/>
      <c r="AJ65" s="33" t="n">
        <f aca="false">IF(AN65=0,J65,0)</f>
        <v>0</v>
      </c>
      <c r="AK65" s="33" t="n">
        <f aca="false">IF(AN65=12,J65,0)</f>
        <v>0</v>
      </c>
      <c r="AL65" s="33" t="n">
        <f aca="false">IF(AN65=21,J65,0)</f>
        <v>0</v>
      </c>
      <c r="AN65" s="33" t="n">
        <v>12</v>
      </c>
      <c r="AO65" s="33" t="n">
        <f aca="false">G65*0.963278275</f>
        <v>0</v>
      </c>
      <c r="AP65" s="33" t="n">
        <f aca="false">G65*(1-0.963278275)</f>
        <v>0</v>
      </c>
      <c r="AQ65" s="35" t="s">
        <v>51</v>
      </c>
      <c r="AV65" s="33" t="n">
        <f aca="false">AW65+AX65</f>
        <v>0</v>
      </c>
      <c r="AW65" s="33" t="n">
        <f aca="false">F65*AO65</f>
        <v>0</v>
      </c>
      <c r="AX65" s="33" t="n">
        <f aca="false">F65*AP65</f>
        <v>0</v>
      </c>
      <c r="AY65" s="35" t="s">
        <v>148</v>
      </c>
      <c r="AZ65" s="35" t="s">
        <v>149</v>
      </c>
      <c r="BA65" s="18" t="s">
        <v>57</v>
      </c>
      <c r="BC65" s="33" t="n">
        <f aca="false">AW65+AX65</f>
        <v>0</v>
      </c>
      <c r="BD65" s="33" t="n">
        <f aca="false">G65/(100-BE65)*100</f>
        <v>0</v>
      </c>
      <c r="BE65" s="33" t="n">
        <v>0</v>
      </c>
      <c r="BF65" s="33" t="n">
        <f aca="false">65</f>
        <v>65</v>
      </c>
      <c r="BH65" s="33" t="n">
        <f aca="false">F65*AO65</f>
        <v>0</v>
      </c>
      <c r="BI65" s="33" t="n">
        <f aca="false">F65*AP65</f>
        <v>0</v>
      </c>
      <c r="BJ65" s="33" t="n">
        <f aca="false">F65*G65</f>
        <v>0</v>
      </c>
      <c r="BK65" s="33"/>
      <c r="BL65" s="33" t="n">
        <v>59</v>
      </c>
      <c r="BW65" s="33" t="n">
        <v>12</v>
      </c>
      <c r="BX65" s="9" t="s">
        <v>167</v>
      </c>
    </row>
    <row r="66" customFormat="false" ht="15" hidden="false" customHeight="false" outlineLevel="0" collapsed="false">
      <c r="A66" s="36"/>
      <c r="C66" s="37" t="s">
        <v>51</v>
      </c>
      <c r="D66" s="37" t="s">
        <v>168</v>
      </c>
      <c r="F66" s="38" t="n">
        <v>1</v>
      </c>
      <c r="K66" s="39"/>
    </row>
    <row r="67" customFormat="false" ht="15" hidden="false" customHeight="true" outlineLevel="0" collapsed="false">
      <c r="A67" s="32" t="s">
        <v>169</v>
      </c>
      <c r="B67" s="10" t="s">
        <v>170</v>
      </c>
      <c r="C67" s="9" t="s">
        <v>171</v>
      </c>
      <c r="D67" s="9"/>
      <c r="E67" s="10" t="s">
        <v>172</v>
      </c>
      <c r="F67" s="33" t="n">
        <v>33.324</v>
      </c>
      <c r="G67" s="33" t="n">
        <v>0</v>
      </c>
      <c r="H67" s="33" t="n">
        <f aca="false">F67*AO67</f>
        <v>0</v>
      </c>
      <c r="I67" s="33" t="n">
        <f aca="false">F67*AP67</f>
        <v>0</v>
      </c>
      <c r="J67" s="33" t="n">
        <f aca="false">F67*G67</f>
        <v>0</v>
      </c>
      <c r="K67" s="34" t="s">
        <v>55</v>
      </c>
      <c r="Z67" s="33" t="n">
        <f aca="false">IF(AQ67="5",BJ67,0)</f>
        <v>0</v>
      </c>
      <c r="AB67" s="33" t="n">
        <f aca="false">IF(AQ67="1",BH67,0)</f>
        <v>0</v>
      </c>
      <c r="AC67" s="33" t="n">
        <f aca="false">IF(AQ67="1",BI67,0)</f>
        <v>0</v>
      </c>
      <c r="AD67" s="33" t="n">
        <f aca="false">IF(AQ67="7",BH67,0)</f>
        <v>0</v>
      </c>
      <c r="AE67" s="33" t="n">
        <f aca="false">IF(AQ67="7",BI67,0)</f>
        <v>0</v>
      </c>
      <c r="AF67" s="33" t="n">
        <f aca="false">IF(AQ67="2",BH67,0)</f>
        <v>0</v>
      </c>
      <c r="AG67" s="33" t="n">
        <f aca="false">IF(AQ67="2",BI67,0)</f>
        <v>0</v>
      </c>
      <c r="AH67" s="33" t="n">
        <f aca="false">IF(AQ67="0",BJ67,0)</f>
        <v>0</v>
      </c>
      <c r="AI67" s="18"/>
      <c r="AJ67" s="33" t="n">
        <f aca="false">IF(AN67=0,J67,0)</f>
        <v>0</v>
      </c>
      <c r="AK67" s="33" t="n">
        <f aca="false">IF(AN67=12,J67,0)</f>
        <v>0</v>
      </c>
      <c r="AL67" s="33" t="n">
        <f aca="false">IF(AN67=21,J67,0)</f>
        <v>0</v>
      </c>
      <c r="AN67" s="33" t="n">
        <v>12</v>
      </c>
      <c r="AO67" s="33" t="n">
        <f aca="false">G67*0</f>
        <v>0</v>
      </c>
      <c r="AP67" s="33" t="n">
        <f aca="false">G67*(1-0)</f>
        <v>0</v>
      </c>
      <c r="AQ67" s="35" t="s">
        <v>68</v>
      </c>
      <c r="AV67" s="33" t="n">
        <f aca="false">AW67+AX67</f>
        <v>0</v>
      </c>
      <c r="AW67" s="33" t="n">
        <f aca="false">F67*AO67</f>
        <v>0</v>
      </c>
      <c r="AX67" s="33" t="n">
        <f aca="false">F67*AP67</f>
        <v>0</v>
      </c>
      <c r="AY67" s="35" t="s">
        <v>148</v>
      </c>
      <c r="AZ67" s="35" t="s">
        <v>149</v>
      </c>
      <c r="BA67" s="18" t="s">
        <v>57</v>
      </c>
      <c r="BC67" s="33" t="n">
        <f aca="false">AW67+AX67</f>
        <v>0</v>
      </c>
      <c r="BD67" s="33" t="n">
        <f aca="false">G67/(100-BE67)*100</f>
        <v>0</v>
      </c>
      <c r="BE67" s="33" t="n">
        <v>0</v>
      </c>
      <c r="BF67" s="33" t="n">
        <f aca="false">67</f>
        <v>67</v>
      </c>
      <c r="BH67" s="33" t="n">
        <f aca="false">F67*AO67</f>
        <v>0</v>
      </c>
      <c r="BI67" s="33" t="n">
        <f aca="false">F67*AP67</f>
        <v>0</v>
      </c>
      <c r="BJ67" s="33" t="n">
        <f aca="false">F67*G67</f>
        <v>0</v>
      </c>
      <c r="BK67" s="33"/>
      <c r="BL67" s="33" t="n">
        <v>59</v>
      </c>
      <c r="BW67" s="33" t="n">
        <v>12</v>
      </c>
      <c r="BX67" s="9" t="s">
        <v>171</v>
      </c>
    </row>
    <row r="68" customFormat="false" ht="15" hidden="false" customHeight="false" outlineLevel="0" collapsed="false">
      <c r="A68" s="36"/>
      <c r="C68" s="37" t="s">
        <v>173</v>
      </c>
      <c r="D68" s="37"/>
      <c r="F68" s="38" t="n">
        <v>33.324</v>
      </c>
      <c r="K68" s="39"/>
    </row>
    <row r="69" customFormat="false" ht="15" hidden="false" customHeight="true" outlineLevel="0" collapsed="false">
      <c r="A69" s="27"/>
      <c r="B69" s="28" t="s">
        <v>174</v>
      </c>
      <c r="C69" s="29" t="s">
        <v>175</v>
      </c>
      <c r="D69" s="29"/>
      <c r="E69" s="30" t="s">
        <v>4</v>
      </c>
      <c r="F69" s="30" t="s">
        <v>4</v>
      </c>
      <c r="G69" s="30" t="s">
        <v>4</v>
      </c>
      <c r="H69" s="2" t="n">
        <f aca="false">SUM(H70:H70)</f>
        <v>0</v>
      </c>
      <c r="I69" s="2" t="n">
        <f aca="false">SUM(I70:I70)</f>
        <v>0</v>
      </c>
      <c r="J69" s="2" t="n">
        <f aca="false">SUM(J70:J70)</f>
        <v>0</v>
      </c>
      <c r="K69" s="31"/>
      <c r="AI69" s="18"/>
      <c r="AS69" s="2" t="n">
        <f aca="false">SUM(AJ70:AJ70)</f>
        <v>0</v>
      </c>
      <c r="AT69" s="2" t="n">
        <f aca="false">SUM(AK70:AK70)</f>
        <v>0</v>
      </c>
      <c r="AU69" s="2" t="n">
        <f aca="false">SUM(AL70:AL70)</f>
        <v>0</v>
      </c>
    </row>
    <row r="70" customFormat="false" ht="15" hidden="false" customHeight="true" outlineLevel="0" collapsed="false">
      <c r="A70" s="32" t="s">
        <v>176</v>
      </c>
      <c r="B70" s="10" t="s">
        <v>177</v>
      </c>
      <c r="C70" s="9" t="s">
        <v>178</v>
      </c>
      <c r="D70" s="9"/>
      <c r="E70" s="10" t="s">
        <v>163</v>
      </c>
      <c r="F70" s="33" t="n">
        <v>59</v>
      </c>
      <c r="G70" s="33" t="n">
        <v>0</v>
      </c>
      <c r="H70" s="33" t="n">
        <f aca="false">F70*AO70</f>
        <v>0</v>
      </c>
      <c r="I70" s="33" t="n">
        <f aca="false">F70*AP70</f>
        <v>0</v>
      </c>
      <c r="J70" s="33" t="n">
        <f aca="false">F70*G70</f>
        <v>0</v>
      </c>
      <c r="K70" s="34" t="s">
        <v>84</v>
      </c>
      <c r="Z70" s="33" t="n">
        <f aca="false">IF(AQ70="5",BJ70,0)</f>
        <v>0</v>
      </c>
      <c r="AB70" s="33" t="n">
        <f aca="false">IF(AQ70="1",BH70,0)</f>
        <v>0</v>
      </c>
      <c r="AC70" s="33" t="n">
        <f aca="false">IF(AQ70="1",BI70,0)</f>
        <v>0</v>
      </c>
      <c r="AD70" s="33" t="n">
        <f aca="false">IF(AQ70="7",BH70,0)</f>
        <v>0</v>
      </c>
      <c r="AE70" s="33" t="n">
        <f aca="false">IF(AQ70="7",BI70,0)</f>
        <v>0</v>
      </c>
      <c r="AF70" s="33" t="n">
        <f aca="false">IF(AQ70="2",BH70,0)</f>
        <v>0</v>
      </c>
      <c r="AG70" s="33" t="n">
        <f aca="false">IF(AQ70="2",BI70,0)</f>
        <v>0</v>
      </c>
      <c r="AH70" s="33" t="n">
        <f aca="false">IF(AQ70="0",BJ70,0)</f>
        <v>0</v>
      </c>
      <c r="AI70" s="18"/>
      <c r="AJ70" s="33" t="n">
        <f aca="false">IF(AN70=0,J70,0)</f>
        <v>0</v>
      </c>
      <c r="AK70" s="33" t="n">
        <f aca="false">IF(AN70=12,J70,0)</f>
        <v>0</v>
      </c>
      <c r="AL70" s="33" t="n">
        <f aca="false">IF(AN70=21,J70,0)</f>
        <v>0</v>
      </c>
      <c r="AN70" s="33" t="n">
        <v>12</v>
      </c>
      <c r="AO70" s="33" t="n">
        <f aca="false">G70*0.226900958</f>
        <v>0</v>
      </c>
      <c r="AP70" s="33" t="n">
        <f aca="false">G70*(1-0.226900958)</f>
        <v>0</v>
      </c>
      <c r="AQ70" s="35" t="s">
        <v>51</v>
      </c>
      <c r="AV70" s="33" t="n">
        <f aca="false">AW70+AX70</f>
        <v>0</v>
      </c>
      <c r="AW70" s="33" t="n">
        <f aca="false">F70*AO70</f>
        <v>0</v>
      </c>
      <c r="AX70" s="33" t="n">
        <f aca="false">F70*AP70</f>
        <v>0</v>
      </c>
      <c r="AY70" s="35" t="s">
        <v>179</v>
      </c>
      <c r="AZ70" s="35" t="s">
        <v>180</v>
      </c>
      <c r="BA70" s="18" t="s">
        <v>57</v>
      </c>
      <c r="BC70" s="33" t="n">
        <f aca="false">AW70+AX70</f>
        <v>0</v>
      </c>
      <c r="BD70" s="33" t="n">
        <f aca="false">G70/(100-BE70)*100</f>
        <v>0</v>
      </c>
      <c r="BE70" s="33" t="n">
        <v>0</v>
      </c>
      <c r="BF70" s="33" t="n">
        <f aca="false">70</f>
        <v>70</v>
      </c>
      <c r="BH70" s="33" t="n">
        <f aca="false">F70*AO70</f>
        <v>0</v>
      </c>
      <c r="BI70" s="33" t="n">
        <f aca="false">F70*AP70</f>
        <v>0</v>
      </c>
      <c r="BJ70" s="33" t="n">
        <f aca="false">F70*G70</f>
        <v>0</v>
      </c>
      <c r="BK70" s="33"/>
      <c r="BL70" s="33" t="n">
        <v>61</v>
      </c>
      <c r="BW70" s="33" t="n">
        <v>12</v>
      </c>
      <c r="BX70" s="9" t="s">
        <v>178</v>
      </c>
    </row>
    <row r="71" customFormat="false" ht="15" hidden="false" customHeight="false" outlineLevel="0" collapsed="false">
      <c r="A71" s="36"/>
      <c r="C71" s="37" t="s">
        <v>144</v>
      </c>
      <c r="D71" s="37" t="s">
        <v>181</v>
      </c>
      <c r="F71" s="38" t="n">
        <v>59</v>
      </c>
      <c r="K71" s="39"/>
    </row>
    <row r="72" customFormat="false" ht="15" hidden="false" customHeight="true" outlineLevel="0" collapsed="false">
      <c r="A72" s="27"/>
      <c r="B72" s="28" t="s">
        <v>182</v>
      </c>
      <c r="C72" s="29" t="s">
        <v>183</v>
      </c>
      <c r="D72" s="29"/>
      <c r="E72" s="30" t="s">
        <v>4</v>
      </c>
      <c r="F72" s="30" t="s">
        <v>4</v>
      </c>
      <c r="G72" s="30" t="s">
        <v>4</v>
      </c>
      <c r="H72" s="2" t="n">
        <f aca="false">SUM(H73:H147)</f>
        <v>0</v>
      </c>
      <c r="I72" s="2" t="n">
        <f aca="false">SUM(I73:I147)</f>
        <v>0</v>
      </c>
      <c r="J72" s="2" t="n">
        <f aca="false">SUM(J73:J147)</f>
        <v>0</v>
      </c>
      <c r="K72" s="31"/>
      <c r="AI72" s="18"/>
      <c r="AS72" s="2" t="n">
        <f aca="false">SUM(AJ73:AJ147)</f>
        <v>0</v>
      </c>
      <c r="AT72" s="2" t="n">
        <f aca="false">SUM(AK73:AK147)</f>
        <v>0</v>
      </c>
      <c r="AU72" s="2" t="n">
        <f aca="false">SUM(AL73:AL147)</f>
        <v>0</v>
      </c>
    </row>
    <row r="73" customFormat="false" ht="15" hidden="false" customHeight="true" outlineLevel="0" collapsed="false">
      <c r="A73" s="32" t="s">
        <v>184</v>
      </c>
      <c r="B73" s="10" t="s">
        <v>185</v>
      </c>
      <c r="C73" s="9" t="s">
        <v>186</v>
      </c>
      <c r="D73" s="9"/>
      <c r="E73" s="10" t="s">
        <v>91</v>
      </c>
      <c r="F73" s="33" t="n">
        <v>87.4</v>
      </c>
      <c r="G73" s="33" t="n">
        <v>0</v>
      </c>
      <c r="H73" s="33" t="n">
        <f aca="false">F73*AO73</f>
        <v>0</v>
      </c>
      <c r="I73" s="33" t="n">
        <f aca="false">F73*AP73</f>
        <v>0</v>
      </c>
      <c r="J73" s="33" t="n">
        <f aca="false">F73*G73</f>
        <v>0</v>
      </c>
      <c r="K73" s="34" t="s">
        <v>55</v>
      </c>
      <c r="Z73" s="33" t="n">
        <f aca="false">IF(AQ73="5",BJ73,0)</f>
        <v>0</v>
      </c>
      <c r="AB73" s="33" t="n">
        <f aca="false">IF(AQ73="1",BH73,0)</f>
        <v>0</v>
      </c>
      <c r="AC73" s="33" t="n">
        <f aca="false">IF(AQ73="1",BI73,0)</f>
        <v>0</v>
      </c>
      <c r="AD73" s="33" t="n">
        <f aca="false">IF(AQ73="7",BH73,0)</f>
        <v>0</v>
      </c>
      <c r="AE73" s="33" t="n">
        <f aca="false">IF(AQ73="7",BI73,0)</f>
        <v>0</v>
      </c>
      <c r="AF73" s="33" t="n">
        <f aca="false">IF(AQ73="2",BH73,0)</f>
        <v>0</v>
      </c>
      <c r="AG73" s="33" t="n">
        <f aca="false">IF(AQ73="2",BI73,0)</f>
        <v>0</v>
      </c>
      <c r="AH73" s="33" t="n">
        <f aca="false">IF(AQ73="0",BJ73,0)</f>
        <v>0</v>
      </c>
      <c r="AI73" s="18"/>
      <c r="AJ73" s="33" t="n">
        <f aca="false">IF(AN73=0,J73,0)</f>
        <v>0</v>
      </c>
      <c r="AK73" s="33" t="n">
        <f aca="false">IF(AN73=12,J73,0)</f>
        <v>0</v>
      </c>
      <c r="AL73" s="33" t="n">
        <f aca="false">IF(AN73=21,J73,0)</f>
        <v>0</v>
      </c>
      <c r="AN73" s="33" t="n">
        <v>12</v>
      </c>
      <c r="AO73" s="33" t="n">
        <f aca="false">G73*0.719557382</f>
        <v>0</v>
      </c>
      <c r="AP73" s="33" t="n">
        <f aca="false">G73*(1-0.719557382)</f>
        <v>0</v>
      </c>
      <c r="AQ73" s="35" t="s">
        <v>51</v>
      </c>
      <c r="AV73" s="33" t="n">
        <f aca="false">AW73+AX73</f>
        <v>0</v>
      </c>
      <c r="AW73" s="33" t="n">
        <f aca="false">F73*AO73</f>
        <v>0</v>
      </c>
      <c r="AX73" s="33" t="n">
        <f aca="false">F73*AP73</f>
        <v>0</v>
      </c>
      <c r="AY73" s="35" t="s">
        <v>187</v>
      </c>
      <c r="AZ73" s="35" t="s">
        <v>180</v>
      </c>
      <c r="BA73" s="18" t="s">
        <v>57</v>
      </c>
      <c r="BC73" s="33" t="n">
        <f aca="false">AW73+AX73</f>
        <v>0</v>
      </c>
      <c r="BD73" s="33" t="n">
        <f aca="false">G73/(100-BE73)*100</f>
        <v>0</v>
      </c>
      <c r="BE73" s="33" t="n">
        <v>0</v>
      </c>
      <c r="BF73" s="33" t="n">
        <f aca="false">73</f>
        <v>73</v>
      </c>
      <c r="BH73" s="33" t="n">
        <f aca="false">F73*AO73</f>
        <v>0</v>
      </c>
      <c r="BI73" s="33" t="n">
        <f aca="false">F73*AP73</f>
        <v>0</v>
      </c>
      <c r="BJ73" s="33" t="n">
        <f aca="false">F73*G73</f>
        <v>0</v>
      </c>
      <c r="BK73" s="33"/>
      <c r="BL73" s="33" t="n">
        <v>62</v>
      </c>
      <c r="BW73" s="33" t="n">
        <v>12</v>
      </c>
      <c r="BX73" s="9" t="s">
        <v>186</v>
      </c>
    </row>
    <row r="74" customFormat="false" ht="15" hidden="false" customHeight="false" outlineLevel="0" collapsed="false">
      <c r="A74" s="36"/>
      <c r="C74" s="37" t="s">
        <v>188</v>
      </c>
      <c r="D74" s="37"/>
      <c r="F74" s="38" t="n">
        <v>87.4</v>
      </c>
      <c r="K74" s="39"/>
    </row>
    <row r="75" customFormat="false" ht="15" hidden="false" customHeight="true" outlineLevel="0" collapsed="false">
      <c r="A75" s="32" t="s">
        <v>189</v>
      </c>
      <c r="B75" s="10" t="s">
        <v>190</v>
      </c>
      <c r="C75" s="9" t="s">
        <v>191</v>
      </c>
      <c r="D75" s="9"/>
      <c r="E75" s="10" t="s">
        <v>91</v>
      </c>
      <c r="F75" s="33" t="n">
        <v>72</v>
      </c>
      <c r="G75" s="33" t="n">
        <v>0</v>
      </c>
      <c r="H75" s="33" t="n">
        <f aca="false">F75*AO75</f>
        <v>0</v>
      </c>
      <c r="I75" s="33" t="n">
        <f aca="false">F75*AP75</f>
        <v>0</v>
      </c>
      <c r="J75" s="33" t="n">
        <f aca="false">F75*G75</f>
        <v>0</v>
      </c>
      <c r="K75" s="34" t="s">
        <v>55</v>
      </c>
      <c r="Z75" s="33" t="n">
        <f aca="false">IF(AQ75="5",BJ75,0)</f>
        <v>0</v>
      </c>
      <c r="AB75" s="33" t="n">
        <f aca="false">IF(AQ75="1",BH75,0)</f>
        <v>0</v>
      </c>
      <c r="AC75" s="33" t="n">
        <f aca="false">IF(AQ75="1",BI75,0)</f>
        <v>0</v>
      </c>
      <c r="AD75" s="33" t="n">
        <f aca="false">IF(AQ75="7",BH75,0)</f>
        <v>0</v>
      </c>
      <c r="AE75" s="33" t="n">
        <f aca="false">IF(AQ75="7",BI75,0)</f>
        <v>0</v>
      </c>
      <c r="AF75" s="33" t="n">
        <f aca="false">IF(AQ75="2",BH75,0)</f>
        <v>0</v>
      </c>
      <c r="AG75" s="33" t="n">
        <f aca="false">IF(AQ75="2",BI75,0)</f>
        <v>0</v>
      </c>
      <c r="AH75" s="33" t="n">
        <f aca="false">IF(AQ75="0",BJ75,0)</f>
        <v>0</v>
      </c>
      <c r="AI75" s="18"/>
      <c r="AJ75" s="33" t="n">
        <f aca="false">IF(AN75=0,J75,0)</f>
        <v>0</v>
      </c>
      <c r="AK75" s="33" t="n">
        <f aca="false">IF(AN75=12,J75,0)</f>
        <v>0</v>
      </c>
      <c r="AL75" s="33" t="n">
        <f aca="false">IF(AN75=21,J75,0)</f>
        <v>0</v>
      </c>
      <c r="AN75" s="33" t="n">
        <v>12</v>
      </c>
      <c r="AO75" s="33" t="n">
        <f aca="false">G75*0.73125</f>
        <v>0</v>
      </c>
      <c r="AP75" s="33" t="n">
        <f aca="false">G75*(1-0.73125)</f>
        <v>0</v>
      </c>
      <c r="AQ75" s="35" t="s">
        <v>51</v>
      </c>
      <c r="AV75" s="33" t="n">
        <f aca="false">AW75+AX75</f>
        <v>0</v>
      </c>
      <c r="AW75" s="33" t="n">
        <f aca="false">F75*AO75</f>
        <v>0</v>
      </c>
      <c r="AX75" s="33" t="n">
        <f aca="false">F75*AP75</f>
        <v>0</v>
      </c>
      <c r="AY75" s="35" t="s">
        <v>187</v>
      </c>
      <c r="AZ75" s="35" t="s">
        <v>180</v>
      </c>
      <c r="BA75" s="18" t="s">
        <v>57</v>
      </c>
      <c r="BC75" s="33" t="n">
        <f aca="false">AW75+AX75</f>
        <v>0</v>
      </c>
      <c r="BD75" s="33" t="n">
        <f aca="false">G75/(100-BE75)*100</f>
        <v>0</v>
      </c>
      <c r="BE75" s="33" t="n">
        <v>0</v>
      </c>
      <c r="BF75" s="33" t="n">
        <f aca="false">75</f>
        <v>75</v>
      </c>
      <c r="BH75" s="33" t="n">
        <f aca="false">F75*AO75</f>
        <v>0</v>
      </c>
      <c r="BI75" s="33" t="n">
        <f aca="false">F75*AP75</f>
        <v>0</v>
      </c>
      <c r="BJ75" s="33" t="n">
        <f aca="false">F75*G75</f>
        <v>0</v>
      </c>
      <c r="BK75" s="33"/>
      <c r="BL75" s="33" t="n">
        <v>62</v>
      </c>
      <c r="BW75" s="33" t="n">
        <v>12</v>
      </c>
      <c r="BX75" s="9" t="s">
        <v>191</v>
      </c>
    </row>
    <row r="76" customFormat="false" ht="15" hidden="false" customHeight="false" outlineLevel="0" collapsed="false">
      <c r="A76" s="36"/>
      <c r="C76" s="37" t="s">
        <v>192</v>
      </c>
      <c r="D76" s="37"/>
      <c r="F76" s="38" t="n">
        <v>72</v>
      </c>
      <c r="K76" s="39"/>
    </row>
    <row r="77" customFormat="false" ht="15" hidden="false" customHeight="true" outlineLevel="0" collapsed="false">
      <c r="A77" s="32" t="s">
        <v>193</v>
      </c>
      <c r="B77" s="10" t="s">
        <v>194</v>
      </c>
      <c r="C77" s="9" t="s">
        <v>195</v>
      </c>
      <c r="D77" s="9"/>
      <c r="E77" s="10" t="s">
        <v>83</v>
      </c>
      <c r="F77" s="33" t="n">
        <v>114.625</v>
      </c>
      <c r="G77" s="33" t="n">
        <v>0</v>
      </c>
      <c r="H77" s="33" t="n">
        <f aca="false">F77*AO77</f>
        <v>0</v>
      </c>
      <c r="I77" s="33" t="n">
        <f aca="false">F77*AP77</f>
        <v>0</v>
      </c>
      <c r="J77" s="33" t="n">
        <f aca="false">F77*G77</f>
        <v>0</v>
      </c>
      <c r="K77" s="34" t="s">
        <v>55</v>
      </c>
      <c r="Z77" s="33" t="n">
        <f aca="false">IF(AQ77="5",BJ77,0)</f>
        <v>0</v>
      </c>
      <c r="AB77" s="33" t="n">
        <f aca="false">IF(AQ77="1",BH77,0)</f>
        <v>0</v>
      </c>
      <c r="AC77" s="33" t="n">
        <f aca="false">IF(AQ77="1",BI77,0)</f>
        <v>0</v>
      </c>
      <c r="AD77" s="33" t="n">
        <f aca="false">IF(AQ77="7",BH77,0)</f>
        <v>0</v>
      </c>
      <c r="AE77" s="33" t="n">
        <f aca="false">IF(AQ77="7",BI77,0)</f>
        <v>0</v>
      </c>
      <c r="AF77" s="33" t="n">
        <f aca="false">IF(AQ77="2",BH77,0)</f>
        <v>0</v>
      </c>
      <c r="AG77" s="33" t="n">
        <f aca="false">IF(AQ77="2",BI77,0)</f>
        <v>0</v>
      </c>
      <c r="AH77" s="33" t="n">
        <f aca="false">IF(AQ77="0",BJ77,0)</f>
        <v>0</v>
      </c>
      <c r="AI77" s="18"/>
      <c r="AJ77" s="33" t="n">
        <f aca="false">IF(AN77=0,J77,0)</f>
        <v>0</v>
      </c>
      <c r="AK77" s="33" t="n">
        <f aca="false">IF(AN77=12,J77,0)</f>
        <v>0</v>
      </c>
      <c r="AL77" s="33" t="n">
        <f aca="false">IF(AN77=21,J77,0)</f>
        <v>0</v>
      </c>
      <c r="AN77" s="33" t="n">
        <v>12</v>
      </c>
      <c r="AO77" s="33" t="n">
        <f aca="false">G77*0.61963595</f>
        <v>0</v>
      </c>
      <c r="AP77" s="33" t="n">
        <f aca="false">G77*(1-0.61963595)</f>
        <v>0</v>
      </c>
      <c r="AQ77" s="35" t="s">
        <v>51</v>
      </c>
      <c r="AV77" s="33" t="n">
        <f aca="false">AW77+AX77</f>
        <v>0</v>
      </c>
      <c r="AW77" s="33" t="n">
        <f aca="false">F77*AO77</f>
        <v>0</v>
      </c>
      <c r="AX77" s="33" t="n">
        <f aca="false">F77*AP77</f>
        <v>0</v>
      </c>
      <c r="AY77" s="35" t="s">
        <v>187</v>
      </c>
      <c r="AZ77" s="35" t="s">
        <v>180</v>
      </c>
      <c r="BA77" s="18" t="s">
        <v>57</v>
      </c>
      <c r="BC77" s="33" t="n">
        <f aca="false">AW77+AX77</f>
        <v>0</v>
      </c>
      <c r="BD77" s="33" t="n">
        <f aca="false">G77/(100-BE77)*100</f>
        <v>0</v>
      </c>
      <c r="BE77" s="33" t="n">
        <v>0</v>
      </c>
      <c r="BF77" s="33" t="n">
        <f aca="false">77</f>
        <v>77</v>
      </c>
      <c r="BH77" s="33" t="n">
        <f aca="false">F77*AO77</f>
        <v>0</v>
      </c>
      <c r="BI77" s="33" t="n">
        <f aca="false">F77*AP77</f>
        <v>0</v>
      </c>
      <c r="BJ77" s="33" t="n">
        <f aca="false">F77*G77</f>
        <v>0</v>
      </c>
      <c r="BK77" s="33"/>
      <c r="BL77" s="33" t="n">
        <v>62</v>
      </c>
      <c r="BW77" s="33" t="n">
        <v>12</v>
      </c>
      <c r="BX77" s="9" t="s">
        <v>196</v>
      </c>
    </row>
    <row r="78" customFormat="false" ht="13.8" hidden="false" customHeight="false" outlineLevel="0" collapsed="false">
      <c r="A78" s="36"/>
      <c r="C78" s="40" t="s">
        <v>197</v>
      </c>
      <c r="D78" s="37"/>
      <c r="F78" s="38" t="n">
        <v>12.325</v>
      </c>
      <c r="K78" s="39"/>
    </row>
    <row r="79" customFormat="false" ht="15" hidden="false" customHeight="false" outlineLevel="0" collapsed="false">
      <c r="A79" s="36"/>
      <c r="C79" s="37" t="s">
        <v>198</v>
      </c>
      <c r="D79" s="37"/>
      <c r="F79" s="38" t="n">
        <v>23.6</v>
      </c>
      <c r="K79" s="39"/>
    </row>
    <row r="80" customFormat="false" ht="15" hidden="false" customHeight="false" outlineLevel="0" collapsed="false">
      <c r="A80" s="36"/>
      <c r="C80" s="37" t="s">
        <v>197</v>
      </c>
      <c r="D80" s="37"/>
      <c r="F80" s="38" t="n">
        <v>12.325</v>
      </c>
      <c r="K80" s="39"/>
    </row>
    <row r="81" customFormat="false" ht="15" hidden="false" customHeight="false" outlineLevel="0" collapsed="false">
      <c r="A81" s="36"/>
      <c r="C81" s="37" t="s">
        <v>199</v>
      </c>
      <c r="D81" s="37"/>
      <c r="F81" s="38" t="n">
        <v>66.375</v>
      </c>
      <c r="K81" s="39"/>
    </row>
    <row r="82" customFormat="false" ht="15" hidden="false" customHeight="true" outlineLevel="0" collapsed="false">
      <c r="A82" s="32" t="s">
        <v>200</v>
      </c>
      <c r="B82" s="10" t="s">
        <v>201</v>
      </c>
      <c r="C82" s="9" t="s">
        <v>202</v>
      </c>
      <c r="D82" s="9"/>
      <c r="E82" s="10" t="s">
        <v>83</v>
      </c>
      <c r="F82" s="33" t="n">
        <v>2805.97</v>
      </c>
      <c r="G82" s="33" t="n">
        <v>0</v>
      </c>
      <c r="H82" s="33" t="n">
        <f aca="false">F82*AO82</f>
        <v>0</v>
      </c>
      <c r="I82" s="33" t="n">
        <f aca="false">F82*AP82</f>
        <v>0</v>
      </c>
      <c r="J82" s="33" t="n">
        <f aca="false">F82*G82</f>
        <v>0</v>
      </c>
      <c r="K82" s="34" t="s">
        <v>55</v>
      </c>
      <c r="Z82" s="33" t="n">
        <f aca="false">IF(AQ82="5",BJ82,0)</f>
        <v>0</v>
      </c>
      <c r="AB82" s="33" t="n">
        <f aca="false">IF(AQ82="1",BH82,0)</f>
        <v>0</v>
      </c>
      <c r="AC82" s="33" t="n">
        <f aca="false">IF(AQ82="1",BI82,0)</f>
        <v>0</v>
      </c>
      <c r="AD82" s="33" t="n">
        <f aca="false">IF(AQ82="7",BH82,0)</f>
        <v>0</v>
      </c>
      <c r="AE82" s="33" t="n">
        <f aca="false">IF(AQ82="7",BI82,0)</f>
        <v>0</v>
      </c>
      <c r="AF82" s="33" t="n">
        <f aca="false">IF(AQ82="2",BH82,0)</f>
        <v>0</v>
      </c>
      <c r="AG82" s="33" t="n">
        <f aca="false">IF(AQ82="2",BI82,0)</f>
        <v>0</v>
      </c>
      <c r="AH82" s="33" t="n">
        <f aca="false">IF(AQ82="0",BJ82,0)</f>
        <v>0</v>
      </c>
      <c r="AI82" s="18"/>
      <c r="AJ82" s="33" t="n">
        <f aca="false">IF(AN82=0,J82,0)</f>
        <v>0</v>
      </c>
      <c r="AK82" s="33" t="n">
        <f aca="false">IF(AN82=12,J82,0)</f>
        <v>0</v>
      </c>
      <c r="AL82" s="33" t="n">
        <f aca="false">IF(AN82=21,J82,0)</f>
        <v>0</v>
      </c>
      <c r="AN82" s="33" t="n">
        <v>12</v>
      </c>
      <c r="AO82" s="33" t="n">
        <f aca="false">G82*0.242479673</f>
        <v>0</v>
      </c>
      <c r="AP82" s="33" t="n">
        <f aca="false">G82*(1-0.242479673)</f>
        <v>0</v>
      </c>
      <c r="AQ82" s="35" t="s">
        <v>51</v>
      </c>
      <c r="AV82" s="33" t="n">
        <f aca="false">AW82+AX82</f>
        <v>0</v>
      </c>
      <c r="AW82" s="33" t="n">
        <f aca="false">F82*AO82</f>
        <v>0</v>
      </c>
      <c r="AX82" s="33" t="n">
        <f aca="false">F82*AP82</f>
        <v>0</v>
      </c>
      <c r="AY82" s="35" t="s">
        <v>187</v>
      </c>
      <c r="AZ82" s="35" t="s">
        <v>180</v>
      </c>
      <c r="BA82" s="18" t="s">
        <v>57</v>
      </c>
      <c r="BC82" s="33" t="n">
        <f aca="false">AW82+AX82</f>
        <v>0</v>
      </c>
      <c r="BD82" s="33" t="n">
        <f aca="false">G82/(100-BE82)*100</f>
        <v>0</v>
      </c>
      <c r="BE82" s="33" t="n">
        <v>0</v>
      </c>
      <c r="BF82" s="33" t="n">
        <f aca="false">82</f>
        <v>82</v>
      </c>
      <c r="BH82" s="33" t="n">
        <f aca="false">F82*AO82</f>
        <v>0</v>
      </c>
      <c r="BI82" s="33" t="n">
        <f aca="false">F82*AP82</f>
        <v>0</v>
      </c>
      <c r="BJ82" s="33" t="n">
        <f aca="false">F82*G82</f>
        <v>0</v>
      </c>
      <c r="BK82" s="33"/>
      <c r="BL82" s="33" t="n">
        <v>62</v>
      </c>
      <c r="BW82" s="33" t="n">
        <v>12</v>
      </c>
      <c r="BX82" s="9" t="s">
        <v>202</v>
      </c>
    </row>
    <row r="83" customFormat="false" ht="15" hidden="false" customHeight="false" outlineLevel="0" collapsed="false">
      <c r="A83" s="36"/>
      <c r="C83" s="37" t="s">
        <v>203</v>
      </c>
      <c r="D83" s="37" t="s">
        <v>204</v>
      </c>
      <c r="F83" s="38" t="n">
        <v>2805.97</v>
      </c>
      <c r="K83" s="39"/>
    </row>
    <row r="84" customFormat="false" ht="15" hidden="false" customHeight="true" outlineLevel="0" collapsed="false">
      <c r="A84" s="32" t="s">
        <v>205</v>
      </c>
      <c r="B84" s="10" t="s">
        <v>206</v>
      </c>
      <c r="C84" s="9" t="s">
        <v>207</v>
      </c>
      <c r="D84" s="9"/>
      <c r="E84" s="10" t="s">
        <v>83</v>
      </c>
      <c r="F84" s="33" t="n">
        <v>255.63</v>
      </c>
      <c r="G84" s="33" t="n">
        <v>0</v>
      </c>
      <c r="H84" s="33" t="n">
        <f aca="false">F84*AO84</f>
        <v>0</v>
      </c>
      <c r="I84" s="33" t="n">
        <f aca="false">F84*AP84</f>
        <v>0</v>
      </c>
      <c r="J84" s="33" t="n">
        <f aca="false">F84*G84</f>
        <v>0</v>
      </c>
      <c r="K84" s="34" t="s">
        <v>55</v>
      </c>
      <c r="Z84" s="33" t="n">
        <f aca="false">IF(AQ84="5",BJ84,0)</f>
        <v>0</v>
      </c>
      <c r="AB84" s="33" t="n">
        <f aca="false">IF(AQ84="1",BH84,0)</f>
        <v>0</v>
      </c>
      <c r="AC84" s="33" t="n">
        <f aca="false">IF(AQ84="1",BI84,0)</f>
        <v>0</v>
      </c>
      <c r="AD84" s="33" t="n">
        <f aca="false">IF(AQ84="7",BH84,0)</f>
        <v>0</v>
      </c>
      <c r="AE84" s="33" t="n">
        <f aca="false">IF(AQ84="7",BI84,0)</f>
        <v>0</v>
      </c>
      <c r="AF84" s="33" t="n">
        <f aca="false">IF(AQ84="2",BH84,0)</f>
        <v>0</v>
      </c>
      <c r="AG84" s="33" t="n">
        <f aca="false">IF(AQ84="2",BI84,0)</f>
        <v>0</v>
      </c>
      <c r="AH84" s="33" t="n">
        <f aca="false">IF(AQ84="0",BJ84,0)</f>
        <v>0</v>
      </c>
      <c r="AI84" s="18"/>
      <c r="AJ84" s="33" t="n">
        <f aca="false">IF(AN84=0,J84,0)</f>
        <v>0</v>
      </c>
      <c r="AK84" s="33" t="n">
        <f aca="false">IF(AN84=12,J84,0)</f>
        <v>0</v>
      </c>
      <c r="AL84" s="33" t="n">
        <f aca="false">IF(AN84=21,J84,0)</f>
        <v>0</v>
      </c>
      <c r="AN84" s="33" t="n">
        <v>12</v>
      </c>
      <c r="AO84" s="33" t="n">
        <f aca="false">G84*0.374589011</f>
        <v>0</v>
      </c>
      <c r="AP84" s="33" t="n">
        <f aca="false">G84*(1-0.374589011)</f>
        <v>0</v>
      </c>
      <c r="AQ84" s="35" t="s">
        <v>51</v>
      </c>
      <c r="AV84" s="33" t="n">
        <f aca="false">AW84+AX84</f>
        <v>0</v>
      </c>
      <c r="AW84" s="33" t="n">
        <f aca="false">F84*AO84</f>
        <v>0</v>
      </c>
      <c r="AX84" s="33" t="n">
        <f aca="false">F84*AP84</f>
        <v>0</v>
      </c>
      <c r="AY84" s="35" t="s">
        <v>187</v>
      </c>
      <c r="AZ84" s="35" t="s">
        <v>180</v>
      </c>
      <c r="BA84" s="18" t="s">
        <v>57</v>
      </c>
      <c r="BC84" s="33" t="n">
        <f aca="false">AW84+AX84</f>
        <v>0</v>
      </c>
      <c r="BD84" s="33" t="n">
        <f aca="false">G84/(100-BE84)*100</f>
        <v>0</v>
      </c>
      <c r="BE84" s="33" t="n">
        <v>0</v>
      </c>
      <c r="BF84" s="33" t="n">
        <f aca="false">84</f>
        <v>84</v>
      </c>
      <c r="BH84" s="33" t="n">
        <f aca="false">F84*AO84</f>
        <v>0</v>
      </c>
      <c r="BI84" s="33" t="n">
        <f aca="false">F84*AP84</f>
        <v>0</v>
      </c>
      <c r="BJ84" s="33" t="n">
        <f aca="false">F84*G84</f>
        <v>0</v>
      </c>
      <c r="BK84" s="33"/>
      <c r="BL84" s="33" t="n">
        <v>62</v>
      </c>
      <c r="BW84" s="33" t="n">
        <v>12</v>
      </c>
      <c r="BX84" s="9" t="s">
        <v>207</v>
      </c>
    </row>
    <row r="85" customFormat="false" ht="15" hidden="false" customHeight="false" outlineLevel="0" collapsed="false">
      <c r="A85" s="36"/>
      <c r="C85" s="37" t="s">
        <v>208</v>
      </c>
      <c r="D85" s="37" t="s">
        <v>209</v>
      </c>
      <c r="F85" s="38" t="n">
        <v>68.88</v>
      </c>
      <c r="K85" s="39"/>
    </row>
    <row r="86" customFormat="false" ht="15" hidden="false" customHeight="false" outlineLevel="0" collapsed="false">
      <c r="A86" s="36"/>
      <c r="C86" s="37" t="s">
        <v>210</v>
      </c>
      <c r="D86" s="37"/>
      <c r="F86" s="38" t="n">
        <v>63.6</v>
      </c>
      <c r="K86" s="39"/>
    </row>
    <row r="87" customFormat="false" ht="15" hidden="false" customHeight="false" outlineLevel="0" collapsed="false">
      <c r="A87" s="36"/>
      <c r="C87" s="37" t="s">
        <v>211</v>
      </c>
      <c r="D87" s="37" t="s">
        <v>212</v>
      </c>
      <c r="F87" s="38" t="n">
        <v>42</v>
      </c>
      <c r="K87" s="39"/>
    </row>
    <row r="88" customFormat="false" ht="15" hidden="false" customHeight="false" outlineLevel="0" collapsed="false">
      <c r="A88" s="36"/>
      <c r="C88" s="37" t="s">
        <v>213</v>
      </c>
      <c r="D88" s="37"/>
      <c r="F88" s="38" t="n">
        <v>36.24</v>
      </c>
      <c r="K88" s="39"/>
    </row>
    <row r="89" customFormat="false" ht="15" hidden="false" customHeight="false" outlineLevel="0" collapsed="false">
      <c r="A89" s="36"/>
      <c r="C89" s="37" t="s">
        <v>214</v>
      </c>
      <c r="D89" s="37" t="s">
        <v>215</v>
      </c>
      <c r="F89" s="38" t="n">
        <v>1</v>
      </c>
      <c r="K89" s="39"/>
    </row>
    <row r="90" customFormat="false" ht="15" hidden="false" customHeight="false" outlineLevel="0" collapsed="false">
      <c r="A90" s="36"/>
      <c r="C90" s="37" t="s">
        <v>216</v>
      </c>
      <c r="D90" s="37"/>
      <c r="F90" s="38" t="n">
        <v>43.91</v>
      </c>
      <c r="K90" s="39"/>
    </row>
    <row r="91" customFormat="false" ht="15" hidden="false" customHeight="true" outlineLevel="0" collapsed="false">
      <c r="A91" s="32" t="s">
        <v>217</v>
      </c>
      <c r="B91" s="10" t="s">
        <v>218</v>
      </c>
      <c r="C91" s="9" t="s">
        <v>219</v>
      </c>
      <c r="D91" s="9"/>
      <c r="E91" s="10" t="s">
        <v>83</v>
      </c>
      <c r="F91" s="33" t="n">
        <v>2316.64</v>
      </c>
      <c r="G91" s="33" t="n">
        <v>0</v>
      </c>
      <c r="H91" s="33" t="n">
        <f aca="false">F91*AO91</f>
        <v>0</v>
      </c>
      <c r="I91" s="33" t="n">
        <f aca="false">F91*AP91</f>
        <v>0</v>
      </c>
      <c r="J91" s="33" t="n">
        <f aca="false">F91*G91</f>
        <v>0</v>
      </c>
      <c r="K91" s="34" t="s">
        <v>55</v>
      </c>
      <c r="Z91" s="33" t="n">
        <f aca="false">IF(AQ91="5",BJ91,0)</f>
        <v>0</v>
      </c>
      <c r="AB91" s="33" t="n">
        <f aca="false">IF(AQ91="1",BH91,0)</f>
        <v>0</v>
      </c>
      <c r="AC91" s="33" t="n">
        <f aca="false">IF(AQ91="1",BI91,0)</f>
        <v>0</v>
      </c>
      <c r="AD91" s="33" t="n">
        <f aca="false">IF(AQ91="7",BH91,0)</f>
        <v>0</v>
      </c>
      <c r="AE91" s="33" t="n">
        <f aca="false">IF(AQ91="7",BI91,0)</f>
        <v>0</v>
      </c>
      <c r="AF91" s="33" t="n">
        <f aca="false">IF(AQ91="2",BH91,0)</f>
        <v>0</v>
      </c>
      <c r="AG91" s="33" t="n">
        <f aca="false">IF(AQ91="2",BI91,0)</f>
        <v>0</v>
      </c>
      <c r="AH91" s="33" t="n">
        <f aca="false">IF(AQ91="0",BJ91,0)</f>
        <v>0</v>
      </c>
      <c r="AI91" s="18"/>
      <c r="AJ91" s="33" t="n">
        <f aca="false">IF(AN91=0,J91,0)</f>
        <v>0</v>
      </c>
      <c r="AK91" s="33" t="n">
        <f aca="false">IF(AN91=12,J91,0)</f>
        <v>0</v>
      </c>
      <c r="AL91" s="33" t="n">
        <f aca="false">IF(AN91=21,J91,0)</f>
        <v>0</v>
      </c>
      <c r="AN91" s="33" t="n">
        <v>12</v>
      </c>
      <c r="AO91" s="33" t="n">
        <f aca="false">G91*0.328095235</f>
        <v>0</v>
      </c>
      <c r="AP91" s="33" t="n">
        <f aca="false">G91*(1-0.328095235)</f>
        <v>0</v>
      </c>
      <c r="AQ91" s="35" t="s">
        <v>51</v>
      </c>
      <c r="AV91" s="33" t="n">
        <f aca="false">AW91+AX91</f>
        <v>0</v>
      </c>
      <c r="AW91" s="33" t="n">
        <f aca="false">F91*AO91</f>
        <v>0</v>
      </c>
      <c r="AX91" s="33" t="n">
        <f aca="false">F91*AP91</f>
        <v>0</v>
      </c>
      <c r="AY91" s="35" t="s">
        <v>187</v>
      </c>
      <c r="AZ91" s="35" t="s">
        <v>180</v>
      </c>
      <c r="BA91" s="18" t="s">
        <v>57</v>
      </c>
      <c r="BC91" s="33" t="n">
        <f aca="false">AW91+AX91</f>
        <v>0</v>
      </c>
      <c r="BD91" s="33" t="n">
        <f aca="false">G91/(100-BE91)*100</f>
        <v>0</v>
      </c>
      <c r="BE91" s="33" t="n">
        <v>0</v>
      </c>
      <c r="BF91" s="33" t="n">
        <f aca="false">91</f>
        <v>91</v>
      </c>
      <c r="BH91" s="33" t="n">
        <f aca="false">F91*AO91</f>
        <v>0</v>
      </c>
      <c r="BI91" s="33" t="n">
        <f aca="false">F91*AP91</f>
        <v>0</v>
      </c>
      <c r="BJ91" s="33" t="n">
        <f aca="false">F91*G91</f>
        <v>0</v>
      </c>
      <c r="BK91" s="33"/>
      <c r="BL91" s="33" t="n">
        <v>62</v>
      </c>
      <c r="BW91" s="33" t="n">
        <v>12</v>
      </c>
      <c r="BX91" s="9" t="s">
        <v>219</v>
      </c>
    </row>
    <row r="92" customFormat="false" ht="15" hidden="false" customHeight="false" outlineLevel="0" collapsed="false">
      <c r="A92" s="36"/>
      <c r="C92" s="37" t="s">
        <v>220</v>
      </c>
      <c r="D92" s="37"/>
      <c r="F92" s="38" t="n">
        <v>2316.64</v>
      </c>
      <c r="K92" s="39"/>
    </row>
    <row r="93" customFormat="false" ht="15" hidden="false" customHeight="true" outlineLevel="0" collapsed="false">
      <c r="A93" s="32" t="s">
        <v>221</v>
      </c>
      <c r="B93" s="10" t="s">
        <v>222</v>
      </c>
      <c r="C93" s="9" t="s">
        <v>223</v>
      </c>
      <c r="D93" s="9"/>
      <c r="E93" s="10" t="s">
        <v>83</v>
      </c>
      <c r="F93" s="33" t="n">
        <v>50</v>
      </c>
      <c r="G93" s="33" t="n">
        <v>0</v>
      </c>
      <c r="H93" s="33" t="n">
        <f aca="false">F93*AO93</f>
        <v>0</v>
      </c>
      <c r="I93" s="33" t="n">
        <f aca="false">F93*AP93</f>
        <v>0</v>
      </c>
      <c r="J93" s="33" t="n">
        <f aca="false">F93*G93</f>
        <v>0</v>
      </c>
      <c r="K93" s="34" t="s">
        <v>55</v>
      </c>
      <c r="Z93" s="33" t="n">
        <f aca="false">IF(AQ93="5",BJ93,0)</f>
        <v>0</v>
      </c>
      <c r="AB93" s="33" t="n">
        <f aca="false">IF(AQ93="1",BH93,0)</f>
        <v>0</v>
      </c>
      <c r="AC93" s="33" t="n">
        <f aca="false">IF(AQ93="1",BI93,0)</f>
        <v>0</v>
      </c>
      <c r="AD93" s="33" t="n">
        <f aca="false">IF(AQ93="7",BH93,0)</f>
        <v>0</v>
      </c>
      <c r="AE93" s="33" t="n">
        <f aca="false">IF(AQ93="7",BI93,0)</f>
        <v>0</v>
      </c>
      <c r="AF93" s="33" t="n">
        <f aca="false">IF(AQ93="2",BH93,0)</f>
        <v>0</v>
      </c>
      <c r="AG93" s="33" t="n">
        <f aca="false">IF(AQ93="2",BI93,0)</f>
        <v>0</v>
      </c>
      <c r="AH93" s="33" t="n">
        <f aca="false">IF(AQ93="0",BJ93,0)</f>
        <v>0</v>
      </c>
      <c r="AI93" s="18"/>
      <c r="AJ93" s="33" t="n">
        <f aca="false">IF(AN93=0,J93,0)</f>
        <v>0</v>
      </c>
      <c r="AK93" s="33" t="n">
        <f aca="false">IF(AN93=12,J93,0)</f>
        <v>0</v>
      </c>
      <c r="AL93" s="33" t="n">
        <f aca="false">IF(AN93=21,J93,0)</f>
        <v>0</v>
      </c>
      <c r="AN93" s="33" t="n">
        <v>12</v>
      </c>
      <c r="AO93" s="33" t="n">
        <f aca="false">G93*0.045515747</f>
        <v>0</v>
      </c>
      <c r="AP93" s="33" t="n">
        <f aca="false">G93*(1-0.045515747)</f>
        <v>0</v>
      </c>
      <c r="AQ93" s="35" t="s">
        <v>51</v>
      </c>
      <c r="AV93" s="33" t="n">
        <f aca="false">AW93+AX93</f>
        <v>0</v>
      </c>
      <c r="AW93" s="33" t="n">
        <f aca="false">F93*AO93</f>
        <v>0</v>
      </c>
      <c r="AX93" s="33" t="n">
        <f aca="false">F93*AP93</f>
        <v>0</v>
      </c>
      <c r="AY93" s="35" t="s">
        <v>187</v>
      </c>
      <c r="AZ93" s="35" t="s">
        <v>180</v>
      </c>
      <c r="BA93" s="18" t="s">
        <v>57</v>
      </c>
      <c r="BC93" s="33" t="n">
        <f aca="false">AW93+AX93</f>
        <v>0</v>
      </c>
      <c r="BD93" s="33" t="n">
        <f aca="false">G93/(100-BE93)*100</f>
        <v>0</v>
      </c>
      <c r="BE93" s="33" t="n">
        <v>0</v>
      </c>
      <c r="BF93" s="33" t="n">
        <f aca="false">93</f>
        <v>93</v>
      </c>
      <c r="BH93" s="33" t="n">
        <f aca="false">F93*AO93</f>
        <v>0</v>
      </c>
      <c r="BI93" s="33" t="n">
        <f aca="false">F93*AP93</f>
        <v>0</v>
      </c>
      <c r="BJ93" s="33" t="n">
        <f aca="false">F93*G93</f>
        <v>0</v>
      </c>
      <c r="BK93" s="33"/>
      <c r="BL93" s="33" t="n">
        <v>62</v>
      </c>
      <c r="BW93" s="33" t="n">
        <v>12</v>
      </c>
      <c r="BX93" s="9" t="s">
        <v>223</v>
      </c>
    </row>
    <row r="94" customFormat="false" ht="15" hidden="false" customHeight="false" outlineLevel="0" collapsed="false">
      <c r="A94" s="36"/>
      <c r="C94" s="37" t="s">
        <v>224</v>
      </c>
      <c r="D94" s="37" t="s">
        <v>225</v>
      </c>
      <c r="F94" s="38" t="n">
        <v>50</v>
      </c>
      <c r="K94" s="39"/>
    </row>
    <row r="95" customFormat="false" ht="15" hidden="false" customHeight="true" outlineLevel="0" collapsed="false">
      <c r="A95" s="32" t="s">
        <v>226</v>
      </c>
      <c r="B95" s="10" t="s">
        <v>227</v>
      </c>
      <c r="C95" s="9" t="s">
        <v>228</v>
      </c>
      <c r="D95" s="9"/>
      <c r="E95" s="10" t="s">
        <v>83</v>
      </c>
      <c r="F95" s="33" t="n">
        <v>741.8</v>
      </c>
      <c r="G95" s="33" t="n">
        <v>0</v>
      </c>
      <c r="H95" s="33" t="n">
        <f aca="false">F95*AO95</f>
        <v>0</v>
      </c>
      <c r="I95" s="33" t="n">
        <f aca="false">F95*AP95</f>
        <v>0</v>
      </c>
      <c r="J95" s="33" t="n">
        <f aca="false">F95*G95</f>
        <v>0</v>
      </c>
      <c r="K95" s="34" t="s">
        <v>55</v>
      </c>
      <c r="Z95" s="33" t="n">
        <f aca="false">IF(AQ95="5",BJ95,0)</f>
        <v>0</v>
      </c>
      <c r="AB95" s="33" t="n">
        <f aca="false">IF(AQ95="1",BH95,0)</f>
        <v>0</v>
      </c>
      <c r="AC95" s="33" t="n">
        <f aca="false">IF(AQ95="1",BI95,0)</f>
        <v>0</v>
      </c>
      <c r="AD95" s="33" t="n">
        <f aca="false">IF(AQ95="7",BH95,0)</f>
        <v>0</v>
      </c>
      <c r="AE95" s="33" t="n">
        <f aca="false">IF(AQ95="7",BI95,0)</f>
        <v>0</v>
      </c>
      <c r="AF95" s="33" t="n">
        <f aca="false">IF(AQ95="2",BH95,0)</f>
        <v>0</v>
      </c>
      <c r="AG95" s="33" t="n">
        <f aca="false">IF(AQ95="2",BI95,0)</f>
        <v>0</v>
      </c>
      <c r="AH95" s="33" t="n">
        <f aca="false">IF(AQ95="0",BJ95,0)</f>
        <v>0</v>
      </c>
      <c r="AI95" s="18"/>
      <c r="AJ95" s="33" t="n">
        <f aca="false">IF(AN95=0,J95,0)</f>
        <v>0</v>
      </c>
      <c r="AK95" s="33" t="n">
        <f aca="false">IF(AN95=12,J95,0)</f>
        <v>0</v>
      </c>
      <c r="AL95" s="33" t="n">
        <f aca="false">IF(AN95=21,J95,0)</f>
        <v>0</v>
      </c>
      <c r="AN95" s="33" t="n">
        <v>12</v>
      </c>
      <c r="AO95" s="33" t="n">
        <f aca="false">G95*0.293654281</f>
        <v>0</v>
      </c>
      <c r="AP95" s="33" t="n">
        <f aca="false">G95*(1-0.293654281)</f>
        <v>0</v>
      </c>
      <c r="AQ95" s="35" t="s">
        <v>51</v>
      </c>
      <c r="AV95" s="33" t="n">
        <f aca="false">AW95+AX95</f>
        <v>0</v>
      </c>
      <c r="AW95" s="33" t="n">
        <f aca="false">F95*AO95</f>
        <v>0</v>
      </c>
      <c r="AX95" s="33" t="n">
        <f aca="false">F95*AP95</f>
        <v>0</v>
      </c>
      <c r="AY95" s="35" t="s">
        <v>187</v>
      </c>
      <c r="AZ95" s="35" t="s">
        <v>180</v>
      </c>
      <c r="BA95" s="18" t="s">
        <v>57</v>
      </c>
      <c r="BC95" s="33" t="n">
        <f aca="false">AW95+AX95</f>
        <v>0</v>
      </c>
      <c r="BD95" s="33" t="n">
        <f aca="false">G95/(100-BE95)*100</f>
        <v>0</v>
      </c>
      <c r="BE95" s="33" t="n">
        <v>0</v>
      </c>
      <c r="BF95" s="33" t="n">
        <f aca="false">95</f>
        <v>95</v>
      </c>
      <c r="BH95" s="33" t="n">
        <f aca="false">F95*AO95</f>
        <v>0</v>
      </c>
      <c r="BI95" s="33" t="n">
        <f aca="false">F95*AP95</f>
        <v>0</v>
      </c>
      <c r="BJ95" s="33" t="n">
        <f aca="false">F95*G95</f>
        <v>0</v>
      </c>
      <c r="BK95" s="33"/>
      <c r="BL95" s="33" t="n">
        <v>62</v>
      </c>
      <c r="BW95" s="33" t="n">
        <v>12</v>
      </c>
      <c r="BX95" s="9" t="s">
        <v>228</v>
      </c>
    </row>
    <row r="96" customFormat="false" ht="15" hidden="false" customHeight="false" outlineLevel="0" collapsed="false">
      <c r="A96" s="36"/>
      <c r="C96" s="37" t="s">
        <v>229</v>
      </c>
      <c r="D96" s="37"/>
      <c r="F96" s="38" t="n">
        <v>741.8</v>
      </c>
      <c r="K96" s="39"/>
    </row>
    <row r="97" customFormat="false" ht="15" hidden="false" customHeight="true" outlineLevel="0" collapsed="false">
      <c r="A97" s="32" t="s">
        <v>230</v>
      </c>
      <c r="B97" s="10" t="s">
        <v>231</v>
      </c>
      <c r="C97" s="9" t="s">
        <v>232</v>
      </c>
      <c r="D97" s="9"/>
      <c r="E97" s="10" t="s">
        <v>91</v>
      </c>
      <c r="F97" s="33" t="n">
        <v>3316.2</v>
      </c>
      <c r="G97" s="33" t="n">
        <v>0</v>
      </c>
      <c r="H97" s="33" t="n">
        <f aca="false">F97*AO97</f>
        <v>0</v>
      </c>
      <c r="I97" s="33" t="n">
        <f aca="false">F97*AP97</f>
        <v>0</v>
      </c>
      <c r="J97" s="33" t="n">
        <f aca="false">F97*G97</f>
        <v>0</v>
      </c>
      <c r="K97" s="34" t="s">
        <v>55</v>
      </c>
      <c r="Z97" s="33" t="n">
        <f aca="false">IF(AQ97="5",BJ97,0)</f>
        <v>0</v>
      </c>
      <c r="AB97" s="33" t="n">
        <f aca="false">IF(AQ97="1",BH97,0)</f>
        <v>0</v>
      </c>
      <c r="AC97" s="33" t="n">
        <f aca="false">IF(AQ97="1",BI97,0)</f>
        <v>0</v>
      </c>
      <c r="AD97" s="33" t="n">
        <f aca="false">IF(AQ97="7",BH97,0)</f>
        <v>0</v>
      </c>
      <c r="AE97" s="33" t="n">
        <f aca="false">IF(AQ97="7",BI97,0)</f>
        <v>0</v>
      </c>
      <c r="AF97" s="33" t="n">
        <f aca="false">IF(AQ97="2",BH97,0)</f>
        <v>0</v>
      </c>
      <c r="AG97" s="33" t="n">
        <f aca="false">IF(AQ97="2",BI97,0)</f>
        <v>0</v>
      </c>
      <c r="AH97" s="33" t="n">
        <f aca="false">IF(AQ97="0",BJ97,0)</f>
        <v>0</v>
      </c>
      <c r="AI97" s="18"/>
      <c r="AJ97" s="33" t="n">
        <f aca="false">IF(AN97=0,J97,0)</f>
        <v>0</v>
      </c>
      <c r="AK97" s="33" t="n">
        <f aca="false">IF(AN97=12,J97,0)</f>
        <v>0</v>
      </c>
      <c r="AL97" s="33" t="n">
        <f aca="false">IF(AN97=21,J97,0)</f>
        <v>0</v>
      </c>
      <c r="AN97" s="33" t="n">
        <v>12</v>
      </c>
      <c r="AO97" s="33" t="n">
        <f aca="false">G97*0.530227273</f>
        <v>0</v>
      </c>
      <c r="AP97" s="33" t="n">
        <f aca="false">G97*(1-0.530227273)</f>
        <v>0</v>
      </c>
      <c r="AQ97" s="35" t="s">
        <v>51</v>
      </c>
      <c r="AV97" s="33" t="n">
        <f aca="false">AW97+AX97</f>
        <v>0</v>
      </c>
      <c r="AW97" s="33" t="n">
        <f aca="false">F97*AO97</f>
        <v>0</v>
      </c>
      <c r="AX97" s="33" t="n">
        <f aca="false">F97*AP97</f>
        <v>0</v>
      </c>
      <c r="AY97" s="35" t="s">
        <v>187</v>
      </c>
      <c r="AZ97" s="35" t="s">
        <v>180</v>
      </c>
      <c r="BA97" s="18" t="s">
        <v>57</v>
      </c>
      <c r="BC97" s="33" t="n">
        <f aca="false">AW97+AX97</f>
        <v>0</v>
      </c>
      <c r="BD97" s="33" t="n">
        <f aca="false">G97/(100-BE97)*100</f>
        <v>0</v>
      </c>
      <c r="BE97" s="33" t="n">
        <v>0</v>
      </c>
      <c r="BF97" s="33" t="n">
        <f aca="false">97</f>
        <v>97</v>
      </c>
      <c r="BH97" s="33" t="n">
        <f aca="false">F97*AO97</f>
        <v>0</v>
      </c>
      <c r="BI97" s="33" t="n">
        <f aca="false">F97*AP97</f>
        <v>0</v>
      </c>
      <c r="BJ97" s="33" t="n">
        <f aca="false">F97*G97</f>
        <v>0</v>
      </c>
      <c r="BK97" s="33"/>
      <c r="BL97" s="33" t="n">
        <v>62</v>
      </c>
      <c r="BW97" s="33" t="n">
        <v>12</v>
      </c>
      <c r="BX97" s="9" t="s">
        <v>232</v>
      </c>
    </row>
    <row r="98" customFormat="false" ht="15" hidden="false" customHeight="false" outlineLevel="0" collapsed="false">
      <c r="A98" s="36"/>
      <c r="C98" s="37" t="s">
        <v>233</v>
      </c>
      <c r="D98" s="37"/>
      <c r="F98" s="38" t="n">
        <v>3316.2</v>
      </c>
      <c r="K98" s="39"/>
    </row>
    <row r="99" customFormat="false" ht="15" hidden="false" customHeight="true" outlineLevel="0" collapsed="false">
      <c r="A99" s="32" t="s">
        <v>234</v>
      </c>
      <c r="B99" s="10" t="s">
        <v>235</v>
      </c>
      <c r="C99" s="9" t="s">
        <v>236</v>
      </c>
      <c r="D99" s="9"/>
      <c r="E99" s="10" t="s">
        <v>91</v>
      </c>
      <c r="F99" s="33" t="n">
        <v>318</v>
      </c>
      <c r="G99" s="33" t="n">
        <v>0</v>
      </c>
      <c r="H99" s="33" t="n">
        <f aca="false">F99*AO99</f>
        <v>0</v>
      </c>
      <c r="I99" s="33" t="n">
        <f aca="false">F99*AP99</f>
        <v>0</v>
      </c>
      <c r="J99" s="33" t="n">
        <f aca="false">F99*G99</f>
        <v>0</v>
      </c>
      <c r="K99" s="34" t="s">
        <v>55</v>
      </c>
      <c r="Z99" s="33" t="n">
        <f aca="false">IF(AQ99="5",BJ99,0)</f>
        <v>0</v>
      </c>
      <c r="AB99" s="33" t="n">
        <f aca="false">IF(AQ99="1",BH99,0)</f>
        <v>0</v>
      </c>
      <c r="AC99" s="33" t="n">
        <f aca="false">IF(AQ99="1",BI99,0)</f>
        <v>0</v>
      </c>
      <c r="AD99" s="33" t="n">
        <f aca="false">IF(AQ99="7",BH99,0)</f>
        <v>0</v>
      </c>
      <c r="AE99" s="33" t="n">
        <f aca="false">IF(AQ99="7",BI99,0)</f>
        <v>0</v>
      </c>
      <c r="AF99" s="33" t="n">
        <f aca="false">IF(AQ99="2",BH99,0)</f>
        <v>0</v>
      </c>
      <c r="AG99" s="33" t="n">
        <f aca="false">IF(AQ99="2",BI99,0)</f>
        <v>0</v>
      </c>
      <c r="AH99" s="33" t="n">
        <f aca="false">IF(AQ99="0",BJ99,0)</f>
        <v>0</v>
      </c>
      <c r="AI99" s="18"/>
      <c r="AJ99" s="33" t="n">
        <f aca="false">IF(AN99=0,J99,0)</f>
        <v>0</v>
      </c>
      <c r="AK99" s="33" t="n">
        <f aca="false">IF(AN99=12,J99,0)</f>
        <v>0</v>
      </c>
      <c r="AL99" s="33" t="n">
        <f aca="false">IF(AN99=21,J99,0)</f>
        <v>0</v>
      </c>
      <c r="AN99" s="33" t="n">
        <v>12</v>
      </c>
      <c r="AO99" s="33" t="n">
        <f aca="false">G99*0.65721393</f>
        <v>0</v>
      </c>
      <c r="AP99" s="33" t="n">
        <f aca="false">G99*(1-0.65721393)</f>
        <v>0</v>
      </c>
      <c r="AQ99" s="35" t="s">
        <v>51</v>
      </c>
      <c r="AV99" s="33" t="n">
        <f aca="false">AW99+AX99</f>
        <v>0</v>
      </c>
      <c r="AW99" s="33" t="n">
        <f aca="false">F99*AO99</f>
        <v>0</v>
      </c>
      <c r="AX99" s="33" t="n">
        <f aca="false">F99*AP99</f>
        <v>0</v>
      </c>
      <c r="AY99" s="35" t="s">
        <v>187</v>
      </c>
      <c r="AZ99" s="35" t="s">
        <v>180</v>
      </c>
      <c r="BA99" s="18" t="s">
        <v>57</v>
      </c>
      <c r="BC99" s="33" t="n">
        <f aca="false">AW99+AX99</f>
        <v>0</v>
      </c>
      <c r="BD99" s="33" t="n">
        <f aca="false">G99/(100-BE99)*100</f>
        <v>0</v>
      </c>
      <c r="BE99" s="33" t="n">
        <v>0</v>
      </c>
      <c r="BF99" s="33" t="n">
        <f aca="false">99</f>
        <v>99</v>
      </c>
      <c r="BH99" s="33" t="n">
        <f aca="false">F99*AO99</f>
        <v>0</v>
      </c>
      <c r="BI99" s="33" t="n">
        <f aca="false">F99*AP99</f>
        <v>0</v>
      </c>
      <c r="BJ99" s="33" t="n">
        <f aca="false">F99*G99</f>
        <v>0</v>
      </c>
      <c r="BK99" s="33"/>
      <c r="BL99" s="33" t="n">
        <v>62</v>
      </c>
      <c r="BW99" s="33" t="n">
        <v>12</v>
      </c>
      <c r="BX99" s="9" t="s">
        <v>236</v>
      </c>
    </row>
    <row r="100" customFormat="false" ht="15" hidden="false" customHeight="false" outlineLevel="0" collapsed="false">
      <c r="A100" s="36"/>
      <c r="C100" s="37" t="s">
        <v>237</v>
      </c>
      <c r="D100" s="37" t="s">
        <v>212</v>
      </c>
      <c r="F100" s="38" t="n">
        <v>62.4</v>
      </c>
      <c r="K100" s="39"/>
    </row>
    <row r="101" customFormat="false" ht="15" hidden="false" customHeight="false" outlineLevel="0" collapsed="false">
      <c r="A101" s="36"/>
      <c r="C101" s="37" t="s">
        <v>238</v>
      </c>
      <c r="D101" s="37"/>
      <c r="F101" s="38" t="n">
        <v>39.6</v>
      </c>
      <c r="K101" s="39"/>
    </row>
    <row r="102" customFormat="false" ht="15" hidden="false" customHeight="false" outlineLevel="0" collapsed="false">
      <c r="A102" s="36"/>
      <c r="C102" s="37" t="s">
        <v>239</v>
      </c>
      <c r="D102" s="37"/>
      <c r="F102" s="38" t="n">
        <v>100.8</v>
      </c>
      <c r="K102" s="39"/>
    </row>
    <row r="103" customFormat="false" ht="15" hidden="false" customHeight="false" outlineLevel="0" collapsed="false">
      <c r="A103" s="36"/>
      <c r="C103" s="37" t="s">
        <v>240</v>
      </c>
      <c r="D103" s="37"/>
      <c r="F103" s="38" t="n">
        <v>115.2</v>
      </c>
      <c r="K103" s="39"/>
    </row>
    <row r="104" customFormat="false" ht="15" hidden="false" customHeight="true" outlineLevel="0" collapsed="false">
      <c r="A104" s="32" t="s">
        <v>241</v>
      </c>
      <c r="B104" s="10" t="s">
        <v>242</v>
      </c>
      <c r="C104" s="9" t="s">
        <v>243</v>
      </c>
      <c r="D104" s="9"/>
      <c r="E104" s="10" t="s">
        <v>91</v>
      </c>
      <c r="F104" s="33" t="n">
        <v>1206.9</v>
      </c>
      <c r="G104" s="33" t="n">
        <v>0</v>
      </c>
      <c r="H104" s="33" t="n">
        <f aca="false">F104*AO104</f>
        <v>0</v>
      </c>
      <c r="I104" s="33" t="n">
        <f aca="false">F104*AP104</f>
        <v>0</v>
      </c>
      <c r="J104" s="33" t="n">
        <f aca="false">F104*G104</f>
        <v>0</v>
      </c>
      <c r="K104" s="34" t="s">
        <v>55</v>
      </c>
      <c r="Z104" s="33" t="n">
        <f aca="false">IF(AQ104="5",BJ104,0)</f>
        <v>0</v>
      </c>
      <c r="AB104" s="33" t="n">
        <f aca="false">IF(AQ104="1",BH104,0)</f>
        <v>0</v>
      </c>
      <c r="AC104" s="33" t="n">
        <f aca="false">IF(AQ104="1",BI104,0)</f>
        <v>0</v>
      </c>
      <c r="AD104" s="33" t="n">
        <f aca="false">IF(AQ104="7",BH104,0)</f>
        <v>0</v>
      </c>
      <c r="AE104" s="33" t="n">
        <f aca="false">IF(AQ104="7",BI104,0)</f>
        <v>0</v>
      </c>
      <c r="AF104" s="33" t="n">
        <f aca="false">IF(AQ104="2",BH104,0)</f>
        <v>0</v>
      </c>
      <c r="AG104" s="33" t="n">
        <f aca="false">IF(AQ104="2",BI104,0)</f>
        <v>0</v>
      </c>
      <c r="AH104" s="33" t="n">
        <f aca="false">IF(AQ104="0",BJ104,0)</f>
        <v>0</v>
      </c>
      <c r="AI104" s="18"/>
      <c r="AJ104" s="33" t="n">
        <f aca="false">IF(AN104=0,J104,0)</f>
        <v>0</v>
      </c>
      <c r="AK104" s="33" t="n">
        <f aca="false">IF(AN104=12,J104,0)</f>
        <v>0</v>
      </c>
      <c r="AL104" s="33" t="n">
        <f aca="false">IF(AN104=21,J104,0)</f>
        <v>0</v>
      </c>
      <c r="AN104" s="33" t="n">
        <v>12</v>
      </c>
      <c r="AO104" s="33" t="n">
        <f aca="false">G104*0.70173163</f>
        <v>0</v>
      </c>
      <c r="AP104" s="33" t="n">
        <f aca="false">G104*(1-0.70173163)</f>
        <v>0</v>
      </c>
      <c r="AQ104" s="35" t="s">
        <v>51</v>
      </c>
      <c r="AV104" s="33" t="n">
        <f aca="false">AW104+AX104</f>
        <v>0</v>
      </c>
      <c r="AW104" s="33" t="n">
        <f aca="false">F104*AO104</f>
        <v>0</v>
      </c>
      <c r="AX104" s="33" t="n">
        <f aca="false">F104*AP104</f>
        <v>0</v>
      </c>
      <c r="AY104" s="35" t="s">
        <v>187</v>
      </c>
      <c r="AZ104" s="35" t="s">
        <v>180</v>
      </c>
      <c r="BA104" s="18" t="s">
        <v>57</v>
      </c>
      <c r="BC104" s="33" t="n">
        <f aca="false">AW104+AX104</f>
        <v>0</v>
      </c>
      <c r="BD104" s="33" t="n">
        <f aca="false">G104/(100-BE104)*100</f>
        <v>0</v>
      </c>
      <c r="BE104" s="33" t="n">
        <v>0</v>
      </c>
      <c r="BF104" s="33" t="n">
        <f aca="false">104</f>
        <v>104</v>
      </c>
      <c r="BH104" s="33" t="n">
        <f aca="false">F104*AO104</f>
        <v>0</v>
      </c>
      <c r="BI104" s="33" t="n">
        <f aca="false">F104*AP104</f>
        <v>0</v>
      </c>
      <c r="BJ104" s="33" t="n">
        <f aca="false">F104*G104</f>
        <v>0</v>
      </c>
      <c r="BK104" s="33"/>
      <c r="BL104" s="33" t="n">
        <v>62</v>
      </c>
      <c r="BW104" s="33" t="n">
        <v>12</v>
      </c>
      <c r="BX104" s="9" t="s">
        <v>243</v>
      </c>
    </row>
    <row r="105" customFormat="false" ht="15" hidden="false" customHeight="false" outlineLevel="0" collapsed="false">
      <c r="A105" s="36"/>
      <c r="C105" s="37" t="s">
        <v>244</v>
      </c>
      <c r="D105" s="37" t="s">
        <v>245</v>
      </c>
      <c r="F105" s="38" t="n">
        <v>921.2</v>
      </c>
      <c r="K105" s="39"/>
    </row>
    <row r="106" customFormat="false" ht="15" hidden="false" customHeight="false" outlineLevel="0" collapsed="false">
      <c r="A106" s="36"/>
      <c r="C106" s="37" t="s">
        <v>246</v>
      </c>
      <c r="D106" s="37" t="s">
        <v>247</v>
      </c>
      <c r="F106" s="38" t="n">
        <v>285.7</v>
      </c>
      <c r="K106" s="39"/>
    </row>
    <row r="107" customFormat="false" ht="15" hidden="false" customHeight="true" outlineLevel="0" collapsed="false">
      <c r="A107" s="32" t="s">
        <v>248</v>
      </c>
      <c r="B107" s="10" t="s">
        <v>249</v>
      </c>
      <c r="C107" s="9" t="s">
        <v>250</v>
      </c>
      <c r="D107" s="9"/>
      <c r="E107" s="10" t="s">
        <v>91</v>
      </c>
      <c r="F107" s="33" t="n">
        <v>2126.9</v>
      </c>
      <c r="G107" s="33" t="n">
        <v>0</v>
      </c>
      <c r="H107" s="33" t="n">
        <f aca="false">F107*AO107</f>
        <v>0</v>
      </c>
      <c r="I107" s="33" t="n">
        <f aca="false">F107*AP107</f>
        <v>0</v>
      </c>
      <c r="J107" s="33" t="n">
        <f aca="false">F107*G107</f>
        <v>0</v>
      </c>
      <c r="K107" s="34" t="s">
        <v>55</v>
      </c>
      <c r="Z107" s="33" t="n">
        <f aca="false">IF(AQ107="5",BJ107,0)</f>
        <v>0</v>
      </c>
      <c r="AB107" s="33" t="n">
        <f aca="false">IF(AQ107="1",BH107,0)</f>
        <v>0</v>
      </c>
      <c r="AC107" s="33" t="n">
        <f aca="false">IF(AQ107="1",BI107,0)</f>
        <v>0</v>
      </c>
      <c r="AD107" s="33" t="n">
        <f aca="false">IF(AQ107="7",BH107,0)</f>
        <v>0</v>
      </c>
      <c r="AE107" s="33" t="n">
        <f aca="false">IF(AQ107="7",BI107,0)</f>
        <v>0</v>
      </c>
      <c r="AF107" s="33" t="n">
        <f aca="false">IF(AQ107="2",BH107,0)</f>
        <v>0</v>
      </c>
      <c r="AG107" s="33" t="n">
        <f aca="false">IF(AQ107="2",BI107,0)</f>
        <v>0</v>
      </c>
      <c r="AH107" s="33" t="n">
        <f aca="false">IF(AQ107="0",BJ107,0)</f>
        <v>0</v>
      </c>
      <c r="AI107" s="18"/>
      <c r="AJ107" s="33" t="n">
        <f aca="false">IF(AN107=0,J107,0)</f>
        <v>0</v>
      </c>
      <c r="AK107" s="33" t="n">
        <f aca="false">IF(AN107=12,J107,0)</f>
        <v>0</v>
      </c>
      <c r="AL107" s="33" t="n">
        <f aca="false">IF(AN107=21,J107,0)</f>
        <v>0</v>
      </c>
      <c r="AN107" s="33" t="n">
        <v>12</v>
      </c>
      <c r="AO107" s="33" t="n">
        <f aca="false">G107*1</f>
        <v>0</v>
      </c>
      <c r="AP107" s="33" t="n">
        <f aca="false">G107*(1-1)</f>
        <v>0</v>
      </c>
      <c r="AQ107" s="35" t="s">
        <v>51</v>
      </c>
      <c r="AV107" s="33" t="n">
        <f aca="false">AW107+AX107</f>
        <v>0</v>
      </c>
      <c r="AW107" s="33" t="n">
        <f aca="false">F107*AO107</f>
        <v>0</v>
      </c>
      <c r="AX107" s="33" t="n">
        <f aca="false">F107*AP107</f>
        <v>0</v>
      </c>
      <c r="AY107" s="35" t="s">
        <v>187</v>
      </c>
      <c r="AZ107" s="35" t="s">
        <v>180</v>
      </c>
      <c r="BA107" s="18" t="s">
        <v>57</v>
      </c>
      <c r="BC107" s="33" t="n">
        <f aca="false">AW107+AX107</f>
        <v>0</v>
      </c>
      <c r="BD107" s="33" t="n">
        <f aca="false">G107/(100-BE107)*100</f>
        <v>0</v>
      </c>
      <c r="BE107" s="33" t="n">
        <v>0</v>
      </c>
      <c r="BF107" s="33" t="n">
        <f aca="false">107</f>
        <v>107</v>
      </c>
      <c r="BH107" s="33" t="n">
        <f aca="false">F107*AO107</f>
        <v>0</v>
      </c>
      <c r="BI107" s="33" t="n">
        <f aca="false">F107*AP107</f>
        <v>0</v>
      </c>
      <c r="BJ107" s="33" t="n">
        <f aca="false">F107*G107</f>
        <v>0</v>
      </c>
      <c r="BK107" s="33"/>
      <c r="BL107" s="33" t="n">
        <v>62</v>
      </c>
      <c r="BW107" s="33" t="n">
        <v>12</v>
      </c>
      <c r="BX107" s="9" t="s">
        <v>250</v>
      </c>
    </row>
    <row r="108" customFormat="false" ht="15" hidden="false" customHeight="false" outlineLevel="0" collapsed="false">
      <c r="A108" s="36"/>
      <c r="C108" s="37" t="s">
        <v>251</v>
      </c>
      <c r="D108" s="37"/>
      <c r="F108" s="38" t="n">
        <v>1323</v>
      </c>
      <c r="K108" s="39"/>
    </row>
    <row r="109" customFormat="false" ht="15" hidden="false" customHeight="false" outlineLevel="0" collapsed="false">
      <c r="A109" s="36"/>
      <c r="C109" s="37" t="s">
        <v>252</v>
      </c>
      <c r="D109" s="37"/>
      <c r="F109" s="38" t="n">
        <v>570</v>
      </c>
      <c r="K109" s="39"/>
    </row>
    <row r="110" customFormat="false" ht="15" hidden="false" customHeight="false" outlineLevel="0" collapsed="false">
      <c r="A110" s="36"/>
      <c r="C110" s="37" t="s">
        <v>253</v>
      </c>
      <c r="D110" s="37"/>
      <c r="F110" s="38" t="n">
        <v>233.9</v>
      </c>
      <c r="K110" s="39"/>
    </row>
    <row r="111" customFormat="false" ht="15" hidden="false" customHeight="true" outlineLevel="0" collapsed="false">
      <c r="A111" s="32" t="s">
        <v>254</v>
      </c>
      <c r="B111" s="10" t="s">
        <v>255</v>
      </c>
      <c r="C111" s="9" t="s">
        <v>256</v>
      </c>
      <c r="D111" s="9"/>
      <c r="E111" s="10" t="s">
        <v>91</v>
      </c>
      <c r="F111" s="33" t="n">
        <v>523</v>
      </c>
      <c r="G111" s="33" t="n">
        <v>0</v>
      </c>
      <c r="H111" s="33" t="n">
        <f aca="false">F111*AO111</f>
        <v>0</v>
      </c>
      <c r="I111" s="33" t="n">
        <f aca="false">F111*AP111</f>
        <v>0</v>
      </c>
      <c r="J111" s="33" t="n">
        <f aca="false">F111*G111</f>
        <v>0</v>
      </c>
      <c r="K111" s="34" t="s">
        <v>55</v>
      </c>
      <c r="Z111" s="33" t="n">
        <f aca="false">IF(AQ111="5",BJ111,0)</f>
        <v>0</v>
      </c>
      <c r="AB111" s="33" t="n">
        <f aca="false">IF(AQ111="1",BH111,0)</f>
        <v>0</v>
      </c>
      <c r="AC111" s="33" t="n">
        <f aca="false">IF(AQ111="1",BI111,0)</f>
        <v>0</v>
      </c>
      <c r="AD111" s="33" t="n">
        <f aca="false">IF(AQ111="7",BH111,0)</f>
        <v>0</v>
      </c>
      <c r="AE111" s="33" t="n">
        <f aca="false">IF(AQ111="7",BI111,0)</f>
        <v>0</v>
      </c>
      <c r="AF111" s="33" t="n">
        <f aca="false">IF(AQ111="2",BH111,0)</f>
        <v>0</v>
      </c>
      <c r="AG111" s="33" t="n">
        <f aca="false">IF(AQ111="2",BI111,0)</f>
        <v>0</v>
      </c>
      <c r="AH111" s="33" t="n">
        <f aca="false">IF(AQ111="0",BJ111,0)</f>
        <v>0</v>
      </c>
      <c r="AI111" s="18"/>
      <c r="AJ111" s="33" t="n">
        <f aca="false">IF(AN111=0,J111,0)</f>
        <v>0</v>
      </c>
      <c r="AK111" s="33" t="n">
        <f aca="false">IF(AN111=12,J111,0)</f>
        <v>0</v>
      </c>
      <c r="AL111" s="33" t="n">
        <f aca="false">IF(AN111=21,J111,0)</f>
        <v>0</v>
      </c>
      <c r="AN111" s="33" t="n">
        <v>12</v>
      </c>
      <c r="AO111" s="33" t="n">
        <f aca="false">G111*1</f>
        <v>0</v>
      </c>
      <c r="AP111" s="33" t="n">
        <f aca="false">G111*(1-1)</f>
        <v>0</v>
      </c>
      <c r="AQ111" s="35" t="s">
        <v>51</v>
      </c>
      <c r="AV111" s="33" t="n">
        <f aca="false">AW111+AX111</f>
        <v>0</v>
      </c>
      <c r="AW111" s="33" t="n">
        <f aca="false">F111*AO111</f>
        <v>0</v>
      </c>
      <c r="AX111" s="33" t="n">
        <f aca="false">F111*AP111</f>
        <v>0</v>
      </c>
      <c r="AY111" s="35" t="s">
        <v>187</v>
      </c>
      <c r="AZ111" s="35" t="s">
        <v>180</v>
      </c>
      <c r="BA111" s="18" t="s">
        <v>57</v>
      </c>
      <c r="BC111" s="33" t="n">
        <f aca="false">AW111+AX111</f>
        <v>0</v>
      </c>
      <c r="BD111" s="33" t="n">
        <f aca="false">G111/(100-BE111)*100</f>
        <v>0</v>
      </c>
      <c r="BE111" s="33" t="n">
        <v>0</v>
      </c>
      <c r="BF111" s="33" t="n">
        <f aca="false">111</f>
        <v>111</v>
      </c>
      <c r="BH111" s="33" t="n">
        <f aca="false">F111*AO111</f>
        <v>0</v>
      </c>
      <c r="BI111" s="33" t="n">
        <f aca="false">F111*AP111</f>
        <v>0</v>
      </c>
      <c r="BJ111" s="33" t="n">
        <f aca="false">F111*G111</f>
        <v>0</v>
      </c>
      <c r="BK111" s="33"/>
      <c r="BL111" s="33" t="n">
        <v>62</v>
      </c>
      <c r="BW111" s="33" t="n">
        <v>12</v>
      </c>
      <c r="BX111" s="9" t="s">
        <v>256</v>
      </c>
    </row>
    <row r="112" customFormat="false" ht="15" hidden="false" customHeight="false" outlineLevel="0" collapsed="false">
      <c r="A112" s="36"/>
      <c r="C112" s="37" t="s">
        <v>257</v>
      </c>
      <c r="D112" s="37"/>
      <c r="F112" s="38" t="n">
        <v>523</v>
      </c>
      <c r="K112" s="39"/>
    </row>
    <row r="113" customFormat="false" ht="15" hidden="false" customHeight="true" outlineLevel="0" collapsed="false">
      <c r="A113" s="32" t="s">
        <v>258</v>
      </c>
      <c r="B113" s="10" t="s">
        <v>259</v>
      </c>
      <c r="C113" s="9" t="s">
        <v>260</v>
      </c>
      <c r="D113" s="9"/>
      <c r="E113" s="10" t="s">
        <v>83</v>
      </c>
      <c r="F113" s="33" t="n">
        <v>183.33</v>
      </c>
      <c r="G113" s="33" t="n">
        <v>0</v>
      </c>
      <c r="H113" s="33" t="n">
        <f aca="false">F113*AO113</f>
        <v>0</v>
      </c>
      <c r="I113" s="33" t="n">
        <f aca="false">F113*AP113</f>
        <v>0</v>
      </c>
      <c r="J113" s="33" t="n">
        <f aca="false">F113*G113</f>
        <v>0</v>
      </c>
      <c r="K113" s="34" t="s">
        <v>84</v>
      </c>
      <c r="Z113" s="33" t="n">
        <f aca="false">IF(AQ113="5",BJ113,0)</f>
        <v>0</v>
      </c>
      <c r="AB113" s="33" t="n">
        <f aca="false">IF(AQ113="1",BH113,0)</f>
        <v>0</v>
      </c>
      <c r="AC113" s="33" t="n">
        <f aca="false">IF(AQ113="1",BI113,0)</f>
        <v>0</v>
      </c>
      <c r="AD113" s="33" t="n">
        <f aca="false">IF(AQ113="7",BH113,0)</f>
        <v>0</v>
      </c>
      <c r="AE113" s="33" t="n">
        <f aca="false">IF(AQ113="7",BI113,0)</f>
        <v>0</v>
      </c>
      <c r="AF113" s="33" t="n">
        <f aca="false">IF(AQ113="2",BH113,0)</f>
        <v>0</v>
      </c>
      <c r="AG113" s="33" t="n">
        <f aca="false">IF(AQ113="2",BI113,0)</f>
        <v>0</v>
      </c>
      <c r="AH113" s="33" t="n">
        <f aca="false">IF(AQ113="0",BJ113,0)</f>
        <v>0</v>
      </c>
      <c r="AI113" s="18"/>
      <c r="AJ113" s="33" t="n">
        <f aca="false">IF(AN113=0,J113,0)</f>
        <v>0</v>
      </c>
      <c r="AK113" s="33" t="n">
        <f aca="false">IF(AN113=12,J113,0)</f>
        <v>0</v>
      </c>
      <c r="AL113" s="33" t="n">
        <f aca="false">IF(AN113=21,J113,0)</f>
        <v>0</v>
      </c>
      <c r="AN113" s="33" t="n">
        <v>12</v>
      </c>
      <c r="AO113" s="33" t="n">
        <f aca="false">G113*0.668995671</f>
        <v>0</v>
      </c>
      <c r="AP113" s="33" t="n">
        <f aca="false">G113*(1-0.668995671)</f>
        <v>0</v>
      </c>
      <c r="AQ113" s="35" t="s">
        <v>51</v>
      </c>
      <c r="AV113" s="33" t="n">
        <f aca="false">AW113+AX113</f>
        <v>0</v>
      </c>
      <c r="AW113" s="33" t="n">
        <f aca="false">F113*AO113</f>
        <v>0</v>
      </c>
      <c r="AX113" s="33" t="n">
        <f aca="false">F113*AP113</f>
        <v>0</v>
      </c>
      <c r="AY113" s="35" t="s">
        <v>187</v>
      </c>
      <c r="AZ113" s="35" t="s">
        <v>180</v>
      </c>
      <c r="BA113" s="18" t="s">
        <v>57</v>
      </c>
      <c r="BC113" s="33" t="n">
        <f aca="false">AW113+AX113</f>
        <v>0</v>
      </c>
      <c r="BD113" s="33" t="n">
        <f aca="false">G113/(100-BE113)*100</f>
        <v>0</v>
      </c>
      <c r="BE113" s="33" t="n">
        <v>0</v>
      </c>
      <c r="BF113" s="33" t="n">
        <f aca="false">113</f>
        <v>113</v>
      </c>
      <c r="BH113" s="33" t="n">
        <f aca="false">F113*AO113</f>
        <v>0</v>
      </c>
      <c r="BI113" s="33" t="n">
        <f aca="false">F113*AP113</f>
        <v>0</v>
      </c>
      <c r="BJ113" s="33" t="n">
        <f aca="false">F113*G113</f>
        <v>0</v>
      </c>
      <c r="BK113" s="33"/>
      <c r="BL113" s="33" t="n">
        <v>62</v>
      </c>
      <c r="BW113" s="33" t="n">
        <v>12</v>
      </c>
      <c r="BX113" s="9" t="s">
        <v>260</v>
      </c>
    </row>
    <row r="114" customFormat="false" ht="57.45" hidden="false" customHeight="false" outlineLevel="0" collapsed="false">
      <c r="A114" s="36"/>
      <c r="C114" s="37" t="s">
        <v>261</v>
      </c>
      <c r="D114" s="40" t="s">
        <v>262</v>
      </c>
      <c r="F114" s="38" t="n">
        <v>196.65</v>
      </c>
      <c r="K114" s="39"/>
    </row>
    <row r="115" customFormat="false" ht="15" hidden="false" customHeight="false" outlineLevel="0" collapsed="false">
      <c r="A115" s="36"/>
      <c r="C115" s="37" t="s">
        <v>263</v>
      </c>
      <c r="D115" s="37"/>
      <c r="F115" s="38" t="n">
        <v>-7.56</v>
      </c>
      <c r="K115" s="39"/>
    </row>
    <row r="116" customFormat="false" ht="15" hidden="false" customHeight="false" outlineLevel="0" collapsed="false">
      <c r="A116" s="36"/>
      <c r="C116" s="37" t="s">
        <v>264</v>
      </c>
      <c r="D116" s="37"/>
      <c r="F116" s="38" t="n">
        <v>-5.76</v>
      </c>
      <c r="K116" s="39"/>
    </row>
    <row r="117" customFormat="false" ht="15" hidden="false" customHeight="true" outlineLevel="0" collapsed="false">
      <c r="A117" s="32" t="s">
        <v>265</v>
      </c>
      <c r="B117" s="10" t="s">
        <v>266</v>
      </c>
      <c r="C117" s="9" t="s">
        <v>267</v>
      </c>
      <c r="D117" s="9"/>
      <c r="E117" s="10" t="s">
        <v>83</v>
      </c>
      <c r="F117" s="33" t="n">
        <v>2270.92</v>
      </c>
      <c r="G117" s="33" t="n">
        <v>0</v>
      </c>
      <c r="H117" s="33" t="n">
        <f aca="false">F117*AO117</f>
        <v>0</v>
      </c>
      <c r="I117" s="33" t="n">
        <f aca="false">F117*AP117</f>
        <v>0</v>
      </c>
      <c r="J117" s="33" t="n">
        <f aca="false">F117*G117</f>
        <v>0</v>
      </c>
      <c r="K117" s="34" t="s">
        <v>84</v>
      </c>
      <c r="Z117" s="33" t="n">
        <f aca="false">IF(AQ117="5",BJ117,0)</f>
        <v>0</v>
      </c>
      <c r="AB117" s="33" t="n">
        <f aca="false">IF(AQ117="1",BH117,0)</f>
        <v>0</v>
      </c>
      <c r="AC117" s="33" t="n">
        <f aca="false">IF(AQ117="1",BI117,0)</f>
        <v>0</v>
      </c>
      <c r="AD117" s="33" t="n">
        <f aca="false">IF(AQ117="7",BH117,0)</f>
        <v>0</v>
      </c>
      <c r="AE117" s="33" t="n">
        <f aca="false">IF(AQ117="7",BI117,0)</f>
        <v>0</v>
      </c>
      <c r="AF117" s="33" t="n">
        <f aca="false">IF(AQ117="2",BH117,0)</f>
        <v>0</v>
      </c>
      <c r="AG117" s="33" t="n">
        <f aca="false">IF(AQ117="2",BI117,0)</f>
        <v>0</v>
      </c>
      <c r="AH117" s="33" t="n">
        <f aca="false">IF(AQ117="0",BJ117,0)</f>
        <v>0</v>
      </c>
      <c r="AI117" s="18"/>
      <c r="AJ117" s="33" t="n">
        <f aca="false">IF(AN117=0,J117,0)</f>
        <v>0</v>
      </c>
      <c r="AK117" s="33" t="n">
        <f aca="false">IF(AN117=12,J117,0)</f>
        <v>0</v>
      </c>
      <c r="AL117" s="33" t="n">
        <f aca="false">IF(AN117=21,J117,0)</f>
        <v>0</v>
      </c>
      <c r="AN117" s="33" t="n">
        <v>12</v>
      </c>
      <c r="AO117" s="33" t="n">
        <f aca="false">G117*0.691062626</f>
        <v>0</v>
      </c>
      <c r="AP117" s="33" t="n">
        <f aca="false">G117*(1-0.691062626)</f>
        <v>0</v>
      </c>
      <c r="AQ117" s="35" t="s">
        <v>51</v>
      </c>
      <c r="AV117" s="33" t="n">
        <f aca="false">AW117+AX117</f>
        <v>0</v>
      </c>
      <c r="AW117" s="33" t="n">
        <f aca="false">F117*AO117</f>
        <v>0</v>
      </c>
      <c r="AX117" s="33" t="n">
        <f aca="false">F117*AP117</f>
        <v>0</v>
      </c>
      <c r="AY117" s="35" t="s">
        <v>187</v>
      </c>
      <c r="AZ117" s="35" t="s">
        <v>180</v>
      </c>
      <c r="BA117" s="18" t="s">
        <v>57</v>
      </c>
      <c r="BC117" s="33" t="n">
        <f aca="false">AW117+AX117</f>
        <v>0</v>
      </c>
      <c r="BD117" s="33" t="n">
        <f aca="false">G117/(100-BE117)*100</f>
        <v>0</v>
      </c>
      <c r="BE117" s="33" t="n">
        <v>0</v>
      </c>
      <c r="BF117" s="33" t="n">
        <f aca="false">117</f>
        <v>117</v>
      </c>
      <c r="BH117" s="33" t="n">
        <f aca="false">F117*AO117</f>
        <v>0</v>
      </c>
      <c r="BI117" s="33" t="n">
        <f aca="false">F117*AP117</f>
        <v>0</v>
      </c>
      <c r="BJ117" s="33" t="n">
        <f aca="false">F117*G117</f>
        <v>0</v>
      </c>
      <c r="BK117" s="33"/>
      <c r="BL117" s="33" t="n">
        <v>62</v>
      </c>
      <c r="BW117" s="33" t="n">
        <v>12</v>
      </c>
      <c r="BX117" s="9" t="s">
        <v>267</v>
      </c>
    </row>
    <row r="118" customFormat="false" ht="57.45" hidden="false" customHeight="false" outlineLevel="0" collapsed="false">
      <c r="A118" s="36"/>
      <c r="C118" s="37" t="s">
        <v>268</v>
      </c>
      <c r="D118" s="40" t="s">
        <v>262</v>
      </c>
      <c r="F118" s="38" t="n">
        <v>3058</v>
      </c>
      <c r="K118" s="39"/>
    </row>
    <row r="119" customFormat="false" ht="15" hidden="false" customHeight="false" outlineLevel="0" collapsed="false">
      <c r="A119" s="36"/>
      <c r="C119" s="37" t="s">
        <v>269</v>
      </c>
      <c r="D119" s="37" t="s">
        <v>212</v>
      </c>
      <c r="F119" s="38" t="n">
        <v>-114.75</v>
      </c>
      <c r="K119" s="39"/>
    </row>
    <row r="120" customFormat="false" ht="15" hidden="false" customHeight="false" outlineLevel="0" collapsed="false">
      <c r="A120" s="36"/>
      <c r="C120" s="37" t="s">
        <v>270</v>
      </c>
      <c r="D120" s="37"/>
      <c r="F120" s="38" t="n">
        <v>-78.03</v>
      </c>
      <c r="K120" s="39"/>
    </row>
    <row r="121" customFormat="false" ht="15" hidden="false" customHeight="false" outlineLevel="0" collapsed="false">
      <c r="A121" s="36"/>
      <c r="C121" s="37" t="s">
        <v>271</v>
      </c>
      <c r="D121" s="37"/>
      <c r="F121" s="38" t="n">
        <v>-74.97</v>
      </c>
      <c r="K121" s="39"/>
    </row>
    <row r="122" customFormat="false" ht="15" hidden="false" customHeight="false" outlineLevel="0" collapsed="false">
      <c r="A122" s="36"/>
      <c r="C122" s="37" t="s">
        <v>272</v>
      </c>
      <c r="D122" s="37"/>
      <c r="F122" s="38" t="n">
        <v>-111.69</v>
      </c>
      <c r="K122" s="39"/>
    </row>
    <row r="123" customFormat="false" ht="15" hidden="false" customHeight="false" outlineLevel="0" collapsed="false">
      <c r="A123" s="36"/>
      <c r="C123" s="37" t="s">
        <v>273</v>
      </c>
      <c r="D123" s="37" t="s">
        <v>245</v>
      </c>
      <c r="F123" s="38" t="n">
        <v>-41.76</v>
      </c>
      <c r="K123" s="39"/>
    </row>
    <row r="124" customFormat="false" ht="15" hidden="false" customHeight="false" outlineLevel="0" collapsed="false">
      <c r="A124" s="36"/>
      <c r="C124" s="37" t="s">
        <v>274</v>
      </c>
      <c r="D124" s="37"/>
      <c r="F124" s="38" t="n">
        <v>-83.52</v>
      </c>
      <c r="K124" s="39"/>
    </row>
    <row r="125" customFormat="false" ht="15" hidden="false" customHeight="false" outlineLevel="0" collapsed="false">
      <c r="A125" s="36"/>
      <c r="C125" s="37" t="s">
        <v>275</v>
      </c>
      <c r="D125" s="37" t="s">
        <v>276</v>
      </c>
      <c r="F125" s="38" t="n">
        <v>-104.4</v>
      </c>
      <c r="K125" s="39"/>
    </row>
    <row r="126" customFormat="false" ht="15" hidden="false" customHeight="false" outlineLevel="0" collapsed="false">
      <c r="A126" s="36"/>
      <c r="C126" s="37" t="s">
        <v>277</v>
      </c>
      <c r="D126" s="37"/>
      <c r="F126" s="38" t="n">
        <v>-125.28</v>
      </c>
      <c r="K126" s="39"/>
    </row>
    <row r="127" customFormat="false" ht="15" hidden="false" customHeight="false" outlineLevel="0" collapsed="false">
      <c r="A127" s="36"/>
      <c r="C127" s="37" t="s">
        <v>278</v>
      </c>
      <c r="D127" s="37" t="s">
        <v>215</v>
      </c>
      <c r="F127" s="38" t="n">
        <v>-1.8</v>
      </c>
      <c r="K127" s="39"/>
    </row>
    <row r="128" customFormat="false" ht="15" hidden="false" customHeight="false" outlineLevel="0" collapsed="false">
      <c r="A128" s="36"/>
      <c r="C128" s="37" t="s">
        <v>279</v>
      </c>
      <c r="D128" s="37"/>
      <c r="F128" s="38" t="n">
        <v>-5.16</v>
      </c>
      <c r="K128" s="39"/>
    </row>
    <row r="129" customFormat="false" ht="15" hidden="false" customHeight="false" outlineLevel="0" collapsed="false">
      <c r="A129" s="36"/>
      <c r="C129" s="37" t="s">
        <v>280</v>
      </c>
      <c r="D129" s="37" t="s">
        <v>281</v>
      </c>
      <c r="F129" s="38" t="n">
        <v>-45.72</v>
      </c>
      <c r="K129" s="39"/>
    </row>
    <row r="130" customFormat="false" ht="15" hidden="false" customHeight="true" outlineLevel="0" collapsed="false">
      <c r="A130" s="32" t="s">
        <v>125</v>
      </c>
      <c r="B130" s="10" t="s">
        <v>259</v>
      </c>
      <c r="C130" s="9" t="s">
        <v>282</v>
      </c>
      <c r="D130" s="9"/>
      <c r="E130" s="10" t="s">
        <v>83</v>
      </c>
      <c r="F130" s="33" t="n">
        <v>163.936</v>
      </c>
      <c r="G130" s="33" t="n">
        <v>0</v>
      </c>
      <c r="H130" s="33" t="n">
        <f aca="false">F130*AO130</f>
        <v>0</v>
      </c>
      <c r="I130" s="33" t="n">
        <f aca="false">F130*AP130</f>
        <v>0</v>
      </c>
      <c r="J130" s="33" t="n">
        <f aca="false">F130*G130</f>
        <v>0</v>
      </c>
      <c r="K130" s="34" t="s">
        <v>84</v>
      </c>
      <c r="Z130" s="33" t="n">
        <f aca="false">IF(AQ130="5",BJ130,0)</f>
        <v>0</v>
      </c>
      <c r="AB130" s="33" t="n">
        <f aca="false">IF(AQ130="1",BH130,0)</f>
        <v>0</v>
      </c>
      <c r="AC130" s="33" t="n">
        <f aca="false">IF(AQ130="1",BI130,0)</f>
        <v>0</v>
      </c>
      <c r="AD130" s="33" t="n">
        <f aca="false">IF(AQ130="7",BH130,0)</f>
        <v>0</v>
      </c>
      <c r="AE130" s="33" t="n">
        <f aca="false">IF(AQ130="7",BI130,0)</f>
        <v>0</v>
      </c>
      <c r="AF130" s="33" t="n">
        <f aca="false">IF(AQ130="2",BH130,0)</f>
        <v>0</v>
      </c>
      <c r="AG130" s="33" t="n">
        <f aca="false">IF(AQ130="2",BI130,0)</f>
        <v>0</v>
      </c>
      <c r="AH130" s="33" t="n">
        <f aca="false">IF(AQ130="0",BJ130,0)</f>
        <v>0</v>
      </c>
      <c r="AI130" s="18"/>
      <c r="AJ130" s="33" t="n">
        <f aca="false">IF(AN130=0,J130,0)</f>
        <v>0</v>
      </c>
      <c r="AK130" s="33" t="n">
        <f aca="false">IF(AN130=12,J130,0)</f>
        <v>0</v>
      </c>
      <c r="AL130" s="33" t="n">
        <f aca="false">IF(AN130=21,J130,0)</f>
        <v>0</v>
      </c>
      <c r="AN130" s="33" t="n">
        <v>12</v>
      </c>
      <c r="AO130" s="33" t="n">
        <f aca="false">G130*0.668995671</f>
        <v>0</v>
      </c>
      <c r="AP130" s="33" t="n">
        <f aca="false">G130*(1-0.668995671)</f>
        <v>0</v>
      </c>
      <c r="AQ130" s="35" t="s">
        <v>51</v>
      </c>
      <c r="AV130" s="33" t="n">
        <f aca="false">AW130+AX130</f>
        <v>0</v>
      </c>
      <c r="AW130" s="33" t="n">
        <f aca="false">F130*AO130</f>
        <v>0</v>
      </c>
      <c r="AX130" s="33" t="n">
        <f aca="false">F130*AP130</f>
        <v>0</v>
      </c>
      <c r="AY130" s="35" t="s">
        <v>187</v>
      </c>
      <c r="AZ130" s="35" t="s">
        <v>180</v>
      </c>
      <c r="BA130" s="18" t="s">
        <v>57</v>
      </c>
      <c r="BC130" s="33" t="n">
        <f aca="false">AW130+AX130</f>
        <v>0</v>
      </c>
      <c r="BD130" s="33" t="n">
        <f aca="false">G130/(100-BE130)*100</f>
        <v>0</v>
      </c>
      <c r="BE130" s="33" t="n">
        <v>0</v>
      </c>
      <c r="BF130" s="33" t="n">
        <f aca="false">130</f>
        <v>130</v>
      </c>
      <c r="BH130" s="33" t="n">
        <f aca="false">F130*AO130</f>
        <v>0</v>
      </c>
      <c r="BI130" s="33" t="n">
        <f aca="false">F130*AP130</f>
        <v>0</v>
      </c>
      <c r="BJ130" s="33" t="n">
        <f aca="false">F130*G130</f>
        <v>0</v>
      </c>
      <c r="BK130" s="33"/>
      <c r="BL130" s="33" t="n">
        <v>62</v>
      </c>
      <c r="BW130" s="33" t="n">
        <v>12</v>
      </c>
      <c r="BX130" s="9" t="s">
        <v>282</v>
      </c>
    </row>
    <row r="131" customFormat="false" ht="57.45" hidden="false" customHeight="false" outlineLevel="0" collapsed="false">
      <c r="A131" s="32"/>
      <c r="B131" s="10"/>
      <c r="C131" s="9"/>
      <c r="D131" s="40" t="s">
        <v>262</v>
      </c>
      <c r="E131" s="10"/>
      <c r="F131" s="33"/>
      <c r="G131" s="33"/>
      <c r="H131" s="33"/>
      <c r="I131" s="33"/>
      <c r="J131" s="33"/>
      <c r="K131" s="34"/>
      <c r="Z131" s="33"/>
      <c r="AB131" s="33"/>
      <c r="AC131" s="33"/>
      <c r="AD131" s="33"/>
      <c r="AE131" s="33"/>
      <c r="AF131" s="33"/>
      <c r="AG131" s="33"/>
      <c r="AH131" s="33"/>
      <c r="AI131" s="18"/>
      <c r="AJ131" s="33"/>
      <c r="AK131" s="33"/>
      <c r="AL131" s="33"/>
      <c r="AN131" s="33"/>
      <c r="AO131" s="33"/>
      <c r="AP131" s="33"/>
      <c r="AQ131" s="35"/>
      <c r="AV131" s="33"/>
      <c r="AW131" s="33"/>
      <c r="AX131" s="33"/>
      <c r="AY131" s="35"/>
      <c r="AZ131" s="35"/>
      <c r="BA131" s="18"/>
      <c r="BC131" s="33"/>
      <c r="BD131" s="33"/>
      <c r="BE131" s="33"/>
      <c r="BF131" s="33"/>
      <c r="BH131" s="33"/>
      <c r="BI131" s="33"/>
      <c r="BJ131" s="33"/>
      <c r="BK131" s="33"/>
      <c r="BL131" s="33"/>
      <c r="BW131" s="33"/>
      <c r="BX131" s="9"/>
    </row>
    <row r="132" customFormat="false" ht="15" hidden="false" customHeight="false" outlineLevel="0" collapsed="false">
      <c r="A132" s="36"/>
      <c r="C132" s="37" t="s">
        <v>283</v>
      </c>
      <c r="D132" s="37" t="s">
        <v>284</v>
      </c>
      <c r="F132" s="38" t="n">
        <v>85.68</v>
      </c>
      <c r="K132" s="39"/>
    </row>
    <row r="133" customFormat="false" ht="15" hidden="false" customHeight="false" outlineLevel="0" collapsed="false">
      <c r="A133" s="36"/>
      <c r="C133" s="37" t="s">
        <v>285</v>
      </c>
      <c r="D133" s="37" t="s">
        <v>286</v>
      </c>
      <c r="F133" s="38" t="n">
        <v>78.256</v>
      </c>
      <c r="K133" s="39"/>
    </row>
    <row r="134" customFormat="false" ht="15" hidden="false" customHeight="true" outlineLevel="0" collapsed="false">
      <c r="A134" s="32" t="s">
        <v>287</v>
      </c>
      <c r="B134" s="10" t="s">
        <v>288</v>
      </c>
      <c r="C134" s="9" t="s">
        <v>289</v>
      </c>
      <c r="D134" s="9"/>
      <c r="E134" s="10" t="s">
        <v>83</v>
      </c>
      <c r="F134" s="33" t="n">
        <v>197.64</v>
      </c>
      <c r="G134" s="33" t="n">
        <v>0</v>
      </c>
      <c r="H134" s="33" t="n">
        <f aca="false">F134*AO134</f>
        <v>0</v>
      </c>
      <c r="I134" s="33" t="n">
        <f aca="false">F134*AP134</f>
        <v>0</v>
      </c>
      <c r="J134" s="33" t="n">
        <f aca="false">F134*G134</f>
        <v>0</v>
      </c>
      <c r="K134" s="34" t="s">
        <v>84</v>
      </c>
      <c r="Z134" s="33" t="n">
        <f aca="false">IF(AQ134="5",BJ134,0)</f>
        <v>0</v>
      </c>
      <c r="AB134" s="33" t="n">
        <f aca="false">IF(AQ134="1",BH134,0)</f>
        <v>0</v>
      </c>
      <c r="AC134" s="33" t="n">
        <f aca="false">IF(AQ134="1",BI134,0)</f>
        <v>0</v>
      </c>
      <c r="AD134" s="33" t="n">
        <f aca="false">IF(AQ134="7",BH134,0)</f>
        <v>0</v>
      </c>
      <c r="AE134" s="33" t="n">
        <f aca="false">IF(AQ134="7",BI134,0)</f>
        <v>0</v>
      </c>
      <c r="AF134" s="33" t="n">
        <f aca="false">IF(AQ134="2",BH134,0)</f>
        <v>0</v>
      </c>
      <c r="AG134" s="33" t="n">
        <f aca="false">IF(AQ134="2",BI134,0)</f>
        <v>0</v>
      </c>
      <c r="AH134" s="33" t="n">
        <f aca="false">IF(AQ134="0",BJ134,0)</f>
        <v>0</v>
      </c>
      <c r="AI134" s="18"/>
      <c r="AJ134" s="33" t="n">
        <f aca="false">IF(AN134=0,J134,0)</f>
        <v>0</v>
      </c>
      <c r="AK134" s="33" t="n">
        <f aca="false">IF(AN134=12,J134,0)</f>
        <v>0</v>
      </c>
      <c r="AL134" s="33" t="n">
        <f aca="false">IF(AN134=21,J134,0)</f>
        <v>0</v>
      </c>
      <c r="AN134" s="33" t="n">
        <v>12</v>
      </c>
      <c r="AO134" s="33" t="n">
        <f aca="false">G134*0.730292769</f>
        <v>0</v>
      </c>
      <c r="AP134" s="33" t="n">
        <f aca="false">G134*(1-0.730292769)</f>
        <v>0</v>
      </c>
      <c r="AQ134" s="35" t="s">
        <v>51</v>
      </c>
      <c r="AV134" s="33" t="n">
        <f aca="false">AW134+AX134</f>
        <v>0</v>
      </c>
      <c r="AW134" s="33" t="n">
        <f aca="false">F134*AO134</f>
        <v>0</v>
      </c>
      <c r="AX134" s="33" t="n">
        <f aca="false">F134*AP134</f>
        <v>0</v>
      </c>
      <c r="AY134" s="35" t="s">
        <v>187</v>
      </c>
      <c r="AZ134" s="35" t="s">
        <v>180</v>
      </c>
      <c r="BA134" s="18" t="s">
        <v>57</v>
      </c>
      <c r="BC134" s="33" t="n">
        <f aca="false">AW134+AX134</f>
        <v>0</v>
      </c>
      <c r="BD134" s="33" t="n">
        <f aca="false">G134/(100-BE134)*100</f>
        <v>0</v>
      </c>
      <c r="BE134" s="33" t="n">
        <v>0</v>
      </c>
      <c r="BF134" s="33" t="n">
        <f aca="false">133</f>
        <v>133</v>
      </c>
      <c r="BH134" s="33" t="n">
        <f aca="false">F134*AO134</f>
        <v>0</v>
      </c>
      <c r="BI134" s="33" t="n">
        <f aca="false">F134*AP134</f>
        <v>0</v>
      </c>
      <c r="BJ134" s="33" t="n">
        <f aca="false">F134*G134</f>
        <v>0</v>
      </c>
      <c r="BK134" s="33"/>
      <c r="BL134" s="33" t="n">
        <v>62</v>
      </c>
      <c r="BW134" s="33" t="n">
        <v>12</v>
      </c>
      <c r="BX134" s="9" t="s">
        <v>289</v>
      </c>
    </row>
    <row r="135" customFormat="false" ht="15" hidden="false" customHeight="false" outlineLevel="0" collapsed="false">
      <c r="A135" s="36"/>
      <c r="C135" s="37" t="s">
        <v>290</v>
      </c>
      <c r="D135" s="37" t="s">
        <v>291</v>
      </c>
      <c r="F135" s="38" t="n">
        <v>220.32</v>
      </c>
      <c r="K135" s="39"/>
    </row>
    <row r="136" customFormat="false" ht="15" hidden="false" customHeight="false" outlineLevel="0" collapsed="false">
      <c r="A136" s="36"/>
      <c r="C136" s="37" t="s">
        <v>292</v>
      </c>
      <c r="D136" s="37" t="s">
        <v>281</v>
      </c>
      <c r="F136" s="38" t="n">
        <v>-22.68</v>
      </c>
      <c r="K136" s="39"/>
    </row>
    <row r="137" customFormat="false" ht="15" hidden="false" customHeight="true" outlineLevel="0" collapsed="false">
      <c r="A137" s="32" t="s">
        <v>293</v>
      </c>
      <c r="B137" s="10" t="s">
        <v>294</v>
      </c>
      <c r="C137" s="9" t="s">
        <v>295</v>
      </c>
      <c r="D137" s="9"/>
      <c r="E137" s="10" t="s">
        <v>83</v>
      </c>
      <c r="F137" s="33" t="n">
        <v>198.899</v>
      </c>
      <c r="G137" s="33" t="n">
        <v>0</v>
      </c>
      <c r="H137" s="33" t="n">
        <f aca="false">F137*AO137</f>
        <v>0</v>
      </c>
      <c r="I137" s="33" t="n">
        <f aca="false">F137*AP137</f>
        <v>0</v>
      </c>
      <c r="J137" s="33" t="n">
        <f aca="false">F137*G137</f>
        <v>0</v>
      </c>
      <c r="K137" s="34" t="s">
        <v>84</v>
      </c>
      <c r="Z137" s="33" t="n">
        <f aca="false">IF(AQ137="5",BJ137,0)</f>
        <v>0</v>
      </c>
      <c r="AB137" s="33" t="n">
        <f aca="false">IF(AQ137="1",BH137,0)</f>
        <v>0</v>
      </c>
      <c r="AC137" s="33" t="n">
        <f aca="false">IF(AQ137="1",BI137,0)</f>
        <v>0</v>
      </c>
      <c r="AD137" s="33" t="n">
        <f aca="false">IF(AQ137="7",BH137,0)</f>
        <v>0</v>
      </c>
      <c r="AE137" s="33" t="n">
        <f aca="false">IF(AQ137="7",BI137,0)</f>
        <v>0</v>
      </c>
      <c r="AF137" s="33" t="n">
        <f aca="false">IF(AQ137="2",BH137,0)</f>
        <v>0</v>
      </c>
      <c r="AG137" s="33" t="n">
        <f aca="false">IF(AQ137="2",BI137,0)</f>
        <v>0</v>
      </c>
      <c r="AH137" s="33" t="n">
        <f aca="false">IF(AQ137="0",BJ137,0)</f>
        <v>0</v>
      </c>
      <c r="AI137" s="18"/>
      <c r="AJ137" s="33" t="n">
        <f aca="false">IF(AN137=0,J137,0)</f>
        <v>0</v>
      </c>
      <c r="AK137" s="33" t="n">
        <f aca="false">IF(AN137=12,J137,0)</f>
        <v>0</v>
      </c>
      <c r="AL137" s="33" t="n">
        <f aca="false">IF(AN137=21,J137,0)</f>
        <v>0</v>
      </c>
      <c r="AN137" s="33" t="n">
        <v>12</v>
      </c>
      <c r="AO137" s="33" t="n">
        <f aca="false">G137*0.615106557</f>
        <v>0</v>
      </c>
      <c r="AP137" s="33" t="n">
        <f aca="false">G137*(1-0.615106557)</f>
        <v>0</v>
      </c>
      <c r="AQ137" s="35" t="s">
        <v>51</v>
      </c>
      <c r="AV137" s="33" t="n">
        <f aca="false">AW137+AX137</f>
        <v>0</v>
      </c>
      <c r="AW137" s="33" t="n">
        <f aca="false">F137*AO137</f>
        <v>0</v>
      </c>
      <c r="AX137" s="33" t="n">
        <f aca="false">F137*AP137</f>
        <v>0</v>
      </c>
      <c r="AY137" s="35" t="s">
        <v>187</v>
      </c>
      <c r="AZ137" s="35" t="s">
        <v>180</v>
      </c>
      <c r="BA137" s="18" t="s">
        <v>57</v>
      </c>
      <c r="BC137" s="33" t="n">
        <f aca="false">AW137+AX137</f>
        <v>0</v>
      </c>
      <c r="BD137" s="33" t="n">
        <f aca="false">G137/(100-BE137)*100</f>
        <v>0</v>
      </c>
      <c r="BE137" s="33" t="n">
        <v>0</v>
      </c>
      <c r="BF137" s="33" t="n">
        <f aca="false">136</f>
        <v>136</v>
      </c>
      <c r="BH137" s="33" t="n">
        <f aca="false">F137*AO137</f>
        <v>0</v>
      </c>
      <c r="BI137" s="33" t="n">
        <f aca="false">F137*AP137</f>
        <v>0</v>
      </c>
      <c r="BJ137" s="33" t="n">
        <f aca="false">F137*G137</f>
        <v>0</v>
      </c>
      <c r="BK137" s="33"/>
      <c r="BL137" s="33" t="n">
        <v>62</v>
      </c>
      <c r="BW137" s="33" t="n">
        <v>12</v>
      </c>
      <c r="BX137" s="9" t="s">
        <v>296</v>
      </c>
    </row>
    <row r="138" customFormat="false" ht="15" hidden="false" customHeight="false" outlineLevel="0" collapsed="false">
      <c r="A138" s="36"/>
      <c r="C138" s="37" t="s">
        <v>297</v>
      </c>
      <c r="D138" s="37"/>
      <c r="F138" s="38" t="n">
        <v>198.899</v>
      </c>
      <c r="K138" s="39"/>
    </row>
    <row r="139" customFormat="false" ht="15" hidden="false" customHeight="true" outlineLevel="0" collapsed="false">
      <c r="A139" s="32" t="s">
        <v>134</v>
      </c>
      <c r="B139" s="10" t="s">
        <v>298</v>
      </c>
      <c r="C139" s="9" t="s">
        <v>299</v>
      </c>
      <c r="D139" s="9"/>
      <c r="E139" s="10" t="s">
        <v>83</v>
      </c>
      <c r="F139" s="33" t="n">
        <v>11.52</v>
      </c>
      <c r="G139" s="33" t="n">
        <v>0</v>
      </c>
      <c r="H139" s="33" t="n">
        <f aca="false">F139*AO139</f>
        <v>0</v>
      </c>
      <c r="I139" s="33" t="n">
        <f aca="false">F139*AP139</f>
        <v>0</v>
      </c>
      <c r="J139" s="33" t="n">
        <f aca="false">F139*G139</f>
        <v>0</v>
      </c>
      <c r="K139" s="34" t="s">
        <v>84</v>
      </c>
      <c r="Z139" s="33" t="n">
        <f aca="false">IF(AQ139="5",BJ139,0)</f>
        <v>0</v>
      </c>
      <c r="AB139" s="33" t="n">
        <f aca="false">IF(AQ139="1",BH139,0)</f>
        <v>0</v>
      </c>
      <c r="AC139" s="33" t="n">
        <f aca="false">IF(AQ139="1",BI139,0)</f>
        <v>0</v>
      </c>
      <c r="AD139" s="33" t="n">
        <f aca="false">IF(AQ139="7",BH139,0)</f>
        <v>0</v>
      </c>
      <c r="AE139" s="33" t="n">
        <f aca="false">IF(AQ139="7",BI139,0)</f>
        <v>0</v>
      </c>
      <c r="AF139" s="33" t="n">
        <f aca="false">IF(AQ139="2",BH139,0)</f>
        <v>0</v>
      </c>
      <c r="AG139" s="33" t="n">
        <f aca="false">IF(AQ139="2",BI139,0)</f>
        <v>0</v>
      </c>
      <c r="AH139" s="33" t="n">
        <f aca="false">IF(AQ139="0",BJ139,0)</f>
        <v>0</v>
      </c>
      <c r="AI139" s="18"/>
      <c r="AJ139" s="33" t="n">
        <f aca="false">IF(AN139=0,J139,0)</f>
        <v>0</v>
      </c>
      <c r="AK139" s="33" t="n">
        <f aca="false">IF(AN139=12,J139,0)</f>
        <v>0</v>
      </c>
      <c r="AL139" s="33" t="n">
        <f aca="false">IF(AN139=21,J139,0)</f>
        <v>0</v>
      </c>
      <c r="AN139" s="33" t="n">
        <v>12</v>
      </c>
      <c r="AO139" s="33" t="n">
        <f aca="false">G139*0.125466667</f>
        <v>0</v>
      </c>
      <c r="AP139" s="33" t="n">
        <f aca="false">G139*(1-0.125466667)</f>
        <v>0</v>
      </c>
      <c r="AQ139" s="35" t="s">
        <v>51</v>
      </c>
      <c r="AV139" s="33" t="n">
        <f aca="false">AW139+AX139</f>
        <v>0</v>
      </c>
      <c r="AW139" s="33" t="n">
        <f aca="false">F139*AO139</f>
        <v>0</v>
      </c>
      <c r="AX139" s="33" t="n">
        <f aca="false">F139*AP139</f>
        <v>0</v>
      </c>
      <c r="AY139" s="35" t="s">
        <v>187</v>
      </c>
      <c r="AZ139" s="35" t="s">
        <v>180</v>
      </c>
      <c r="BA139" s="18" t="s">
        <v>57</v>
      </c>
      <c r="BC139" s="33" t="n">
        <f aca="false">AW139+AX139</f>
        <v>0</v>
      </c>
      <c r="BD139" s="33" t="n">
        <f aca="false">G139/(100-BE139)*100</f>
        <v>0</v>
      </c>
      <c r="BE139" s="33" t="n">
        <v>0</v>
      </c>
      <c r="BF139" s="33" t="n">
        <f aca="false">138</f>
        <v>138</v>
      </c>
      <c r="BH139" s="33" t="n">
        <f aca="false">F139*AO139</f>
        <v>0</v>
      </c>
      <c r="BI139" s="33" t="n">
        <f aca="false">F139*AP139</f>
        <v>0</v>
      </c>
      <c r="BJ139" s="33" t="n">
        <f aca="false">F139*G139</f>
        <v>0</v>
      </c>
      <c r="BK139" s="33"/>
      <c r="BL139" s="33" t="n">
        <v>62</v>
      </c>
      <c r="BW139" s="33" t="n">
        <v>12</v>
      </c>
      <c r="BX139" s="9" t="s">
        <v>299</v>
      </c>
    </row>
    <row r="140" customFormat="false" ht="15" hidden="false" customHeight="false" outlineLevel="0" collapsed="false">
      <c r="A140" s="36"/>
      <c r="C140" s="37" t="s">
        <v>154</v>
      </c>
      <c r="D140" s="37"/>
      <c r="F140" s="38" t="n">
        <v>11.52</v>
      </c>
      <c r="K140" s="39"/>
    </row>
    <row r="141" customFormat="false" ht="15" hidden="false" customHeight="true" outlineLevel="0" collapsed="false">
      <c r="A141" s="32" t="s">
        <v>300</v>
      </c>
      <c r="B141" s="10" t="s">
        <v>301</v>
      </c>
      <c r="C141" s="9" t="s">
        <v>302</v>
      </c>
      <c r="D141" s="9"/>
      <c r="E141" s="10" t="s">
        <v>83</v>
      </c>
      <c r="F141" s="33" t="n">
        <v>9.864</v>
      </c>
      <c r="G141" s="33" t="n">
        <v>0</v>
      </c>
      <c r="H141" s="33" t="n">
        <f aca="false">F141*AO141</f>
        <v>0</v>
      </c>
      <c r="I141" s="33" t="n">
        <f aca="false">F141*AP141</f>
        <v>0</v>
      </c>
      <c r="J141" s="33" t="n">
        <f aca="false">F141*G141</f>
        <v>0</v>
      </c>
      <c r="K141" s="34" t="s">
        <v>303</v>
      </c>
      <c r="Z141" s="33" t="n">
        <f aca="false">IF(AQ141="5",BJ141,0)</f>
        <v>0</v>
      </c>
      <c r="AB141" s="33" t="n">
        <f aca="false">IF(AQ141="1",BH141,0)</f>
        <v>0</v>
      </c>
      <c r="AC141" s="33" t="n">
        <f aca="false">IF(AQ141="1",BI141,0)</f>
        <v>0</v>
      </c>
      <c r="AD141" s="33" t="n">
        <f aca="false">IF(AQ141="7",BH141,0)</f>
        <v>0</v>
      </c>
      <c r="AE141" s="33" t="n">
        <f aca="false">IF(AQ141="7",BI141,0)</f>
        <v>0</v>
      </c>
      <c r="AF141" s="33" t="n">
        <f aca="false">IF(AQ141="2",BH141,0)</f>
        <v>0</v>
      </c>
      <c r="AG141" s="33" t="n">
        <f aca="false">IF(AQ141="2",BI141,0)</f>
        <v>0</v>
      </c>
      <c r="AH141" s="33" t="n">
        <f aca="false">IF(AQ141="0",BJ141,0)</f>
        <v>0</v>
      </c>
      <c r="AI141" s="18"/>
      <c r="AJ141" s="33" t="n">
        <f aca="false">IF(AN141=0,J141,0)</f>
        <v>0</v>
      </c>
      <c r="AK141" s="33" t="n">
        <f aca="false">IF(AN141=12,J141,0)</f>
        <v>0</v>
      </c>
      <c r="AL141" s="33" t="n">
        <f aca="false">IF(AN141=21,J141,0)</f>
        <v>0</v>
      </c>
      <c r="AN141" s="33" t="n">
        <v>12</v>
      </c>
      <c r="AO141" s="33" t="n">
        <f aca="false">G141*0.52888096</f>
        <v>0</v>
      </c>
      <c r="AP141" s="33" t="n">
        <f aca="false">G141*(1-0.52888096)</f>
        <v>0</v>
      </c>
      <c r="AQ141" s="35" t="s">
        <v>51</v>
      </c>
      <c r="AV141" s="33" t="n">
        <f aca="false">AW141+AX141</f>
        <v>0</v>
      </c>
      <c r="AW141" s="33" t="n">
        <f aca="false">F141*AO141</f>
        <v>0</v>
      </c>
      <c r="AX141" s="33" t="n">
        <f aca="false">F141*AP141</f>
        <v>0</v>
      </c>
      <c r="AY141" s="35" t="s">
        <v>187</v>
      </c>
      <c r="AZ141" s="35" t="s">
        <v>180</v>
      </c>
      <c r="BA141" s="18" t="s">
        <v>57</v>
      </c>
      <c r="BC141" s="33" t="n">
        <f aca="false">AW141+AX141</f>
        <v>0</v>
      </c>
      <c r="BD141" s="33" t="n">
        <f aca="false">G141/(100-BE141)*100</f>
        <v>0</v>
      </c>
      <c r="BE141" s="33" t="n">
        <v>0</v>
      </c>
      <c r="BF141" s="33" t="n">
        <f aca="false">140</f>
        <v>140</v>
      </c>
      <c r="BH141" s="33" t="n">
        <f aca="false">F141*AO141</f>
        <v>0</v>
      </c>
      <c r="BI141" s="33" t="n">
        <f aca="false">F141*AP141</f>
        <v>0</v>
      </c>
      <c r="BJ141" s="33" t="n">
        <f aca="false">F141*G141</f>
        <v>0</v>
      </c>
      <c r="BK141" s="33"/>
      <c r="BL141" s="33" t="n">
        <v>62</v>
      </c>
      <c r="BW141" s="33" t="n">
        <v>12</v>
      </c>
      <c r="BX141" s="9" t="s">
        <v>304</v>
      </c>
    </row>
    <row r="142" customFormat="false" ht="57.45" hidden="false" customHeight="false" outlineLevel="0" collapsed="false">
      <c r="A142" s="36"/>
      <c r="C142" s="37" t="s">
        <v>305</v>
      </c>
      <c r="D142" s="40" t="s">
        <v>306</v>
      </c>
      <c r="F142" s="38" t="n">
        <v>9.864</v>
      </c>
      <c r="K142" s="39"/>
    </row>
    <row r="143" customFormat="false" ht="13.8" hidden="false" customHeight="true" outlineLevel="0" collapsed="false">
      <c r="A143" s="32" t="s">
        <v>307</v>
      </c>
      <c r="B143" s="10" t="s">
        <v>308</v>
      </c>
      <c r="C143" s="9" t="s">
        <v>309</v>
      </c>
      <c r="D143" s="9"/>
      <c r="E143" s="10" t="s">
        <v>83</v>
      </c>
      <c r="F143" s="33" t="n">
        <v>45.72</v>
      </c>
      <c r="G143" s="33" t="n">
        <v>0</v>
      </c>
      <c r="H143" s="33" t="n">
        <f aca="false">F143*AO143</f>
        <v>0</v>
      </c>
      <c r="I143" s="33" t="n">
        <f aca="false">F143*AP143</f>
        <v>0</v>
      </c>
      <c r="J143" s="33" t="n">
        <f aca="false">F143*G143</f>
        <v>0</v>
      </c>
      <c r="K143" s="34" t="s">
        <v>303</v>
      </c>
      <c r="Z143" s="33" t="n">
        <f aca="false">IF(AQ143="5",BJ143,0)</f>
        <v>0</v>
      </c>
      <c r="AB143" s="33" t="n">
        <f aca="false">IF(AQ143="1",BH143,0)</f>
        <v>0</v>
      </c>
      <c r="AC143" s="33" t="n">
        <f aca="false">IF(AQ143="1",BI143,0)</f>
        <v>0</v>
      </c>
      <c r="AD143" s="33" t="n">
        <f aca="false">IF(AQ143="7",BH143,0)</f>
        <v>0</v>
      </c>
      <c r="AE143" s="33" t="n">
        <f aca="false">IF(AQ143="7",BI143,0)</f>
        <v>0</v>
      </c>
      <c r="AF143" s="33" t="n">
        <f aca="false">IF(AQ143="2",BH143,0)</f>
        <v>0</v>
      </c>
      <c r="AG143" s="33" t="n">
        <f aca="false">IF(AQ143="2",BI143,0)</f>
        <v>0</v>
      </c>
      <c r="AH143" s="33" t="n">
        <f aca="false">IF(AQ143="0",BJ143,0)</f>
        <v>0</v>
      </c>
      <c r="AI143" s="18"/>
      <c r="AJ143" s="33" t="n">
        <f aca="false">IF(AN143=0,J143,0)</f>
        <v>0</v>
      </c>
      <c r="AK143" s="33" t="n">
        <f aca="false">IF(AN143=12,J143,0)</f>
        <v>0</v>
      </c>
      <c r="AL143" s="33" t="n">
        <f aca="false">IF(AN143=21,J143,0)</f>
        <v>0</v>
      </c>
      <c r="AN143" s="33" t="n">
        <v>12</v>
      </c>
      <c r="AO143" s="33" t="n">
        <f aca="false">G143*0.548953634</f>
        <v>0</v>
      </c>
      <c r="AP143" s="33" t="n">
        <f aca="false">G143*(1-0.548953634)</f>
        <v>0</v>
      </c>
      <c r="AQ143" s="35" t="s">
        <v>51</v>
      </c>
      <c r="AV143" s="33" t="n">
        <f aca="false">AW143+AX143</f>
        <v>0</v>
      </c>
      <c r="AW143" s="33" t="n">
        <f aca="false">F143*AO143</f>
        <v>0</v>
      </c>
      <c r="AX143" s="33" t="n">
        <f aca="false">F143*AP143</f>
        <v>0</v>
      </c>
      <c r="AY143" s="35" t="s">
        <v>187</v>
      </c>
      <c r="AZ143" s="35" t="s">
        <v>180</v>
      </c>
      <c r="BA143" s="18" t="s">
        <v>57</v>
      </c>
      <c r="BC143" s="33" t="n">
        <f aca="false">AW143+AX143</f>
        <v>0</v>
      </c>
      <c r="BD143" s="33" t="n">
        <f aca="false">G143/(100-BE143)*100</f>
        <v>0</v>
      </c>
      <c r="BE143" s="33" t="n">
        <v>0</v>
      </c>
      <c r="BF143" s="33" t="n">
        <f aca="false">142</f>
        <v>142</v>
      </c>
      <c r="BH143" s="33" t="n">
        <f aca="false">F143*AO143</f>
        <v>0</v>
      </c>
      <c r="BI143" s="33" t="n">
        <f aca="false">F143*AP143</f>
        <v>0</v>
      </c>
      <c r="BJ143" s="33" t="n">
        <f aca="false">F143*G143</f>
        <v>0</v>
      </c>
      <c r="BK143" s="33"/>
      <c r="BL143" s="33" t="n">
        <v>62</v>
      </c>
      <c r="BW143" s="33" t="n">
        <v>12</v>
      </c>
      <c r="BX143" s="9" t="s">
        <v>310</v>
      </c>
    </row>
    <row r="144" customFormat="false" ht="46.25" hidden="false" customHeight="false" outlineLevel="0" collapsed="false">
      <c r="A144" s="36"/>
      <c r="C144" s="37" t="s">
        <v>311</v>
      </c>
      <c r="D144" s="40" t="s">
        <v>306</v>
      </c>
      <c r="F144" s="38" t="n">
        <v>45.72</v>
      </c>
      <c r="K144" s="39"/>
    </row>
    <row r="145" customFormat="false" ht="13.8" hidden="false" customHeight="true" outlineLevel="0" collapsed="false">
      <c r="A145" s="32" t="s">
        <v>312</v>
      </c>
      <c r="B145" s="10" t="s">
        <v>313</v>
      </c>
      <c r="C145" s="9" t="s">
        <v>314</v>
      </c>
      <c r="D145" s="9"/>
      <c r="E145" s="10" t="s">
        <v>83</v>
      </c>
      <c r="F145" s="33" t="n">
        <v>22.68</v>
      </c>
      <c r="G145" s="33" t="n">
        <v>0</v>
      </c>
      <c r="H145" s="33" t="n">
        <f aca="false">F145*AO145</f>
        <v>0</v>
      </c>
      <c r="I145" s="33" t="n">
        <f aca="false">F145*AP145</f>
        <v>0</v>
      </c>
      <c r="J145" s="33" t="n">
        <f aca="false">F145*G145</f>
        <v>0</v>
      </c>
      <c r="K145" s="34" t="s">
        <v>303</v>
      </c>
      <c r="Z145" s="33" t="n">
        <f aca="false">IF(AQ145="5",BJ145,0)</f>
        <v>0</v>
      </c>
      <c r="AB145" s="33" t="n">
        <f aca="false">IF(AQ145="1",BH145,0)</f>
        <v>0</v>
      </c>
      <c r="AC145" s="33" t="n">
        <f aca="false">IF(AQ145="1",BI145,0)</f>
        <v>0</v>
      </c>
      <c r="AD145" s="33" t="n">
        <f aca="false">IF(AQ145="7",BH145,0)</f>
        <v>0</v>
      </c>
      <c r="AE145" s="33" t="n">
        <f aca="false">IF(AQ145="7",BI145,0)</f>
        <v>0</v>
      </c>
      <c r="AF145" s="33" t="n">
        <f aca="false">IF(AQ145="2",BH145,0)</f>
        <v>0</v>
      </c>
      <c r="AG145" s="33" t="n">
        <f aca="false">IF(AQ145="2",BI145,0)</f>
        <v>0</v>
      </c>
      <c r="AH145" s="33" t="n">
        <f aca="false">IF(AQ145="0",BJ145,0)</f>
        <v>0</v>
      </c>
      <c r="AI145" s="18"/>
      <c r="AJ145" s="33" t="n">
        <f aca="false">IF(AN145=0,J145,0)</f>
        <v>0</v>
      </c>
      <c r="AK145" s="33" t="n">
        <f aca="false">IF(AN145=12,J145,0)</f>
        <v>0</v>
      </c>
      <c r="AL145" s="33" t="n">
        <f aca="false">IF(AN145=21,J145,0)</f>
        <v>0</v>
      </c>
      <c r="AN145" s="33" t="n">
        <v>12</v>
      </c>
      <c r="AO145" s="33" t="n">
        <f aca="false">G145*0.569970131</f>
        <v>0</v>
      </c>
      <c r="AP145" s="33" t="n">
        <f aca="false">G145*(1-0.569970131)</f>
        <v>0</v>
      </c>
      <c r="AQ145" s="35" t="s">
        <v>51</v>
      </c>
      <c r="AV145" s="33" t="n">
        <f aca="false">AW145+AX145</f>
        <v>0</v>
      </c>
      <c r="AW145" s="33" t="n">
        <f aca="false">F145*AO145</f>
        <v>0</v>
      </c>
      <c r="AX145" s="33" t="n">
        <f aca="false">F145*AP145</f>
        <v>0</v>
      </c>
      <c r="AY145" s="35" t="s">
        <v>187</v>
      </c>
      <c r="AZ145" s="35" t="s">
        <v>180</v>
      </c>
      <c r="BA145" s="18" t="s">
        <v>57</v>
      </c>
      <c r="BC145" s="33" t="n">
        <f aca="false">AW145+AX145</f>
        <v>0</v>
      </c>
      <c r="BD145" s="33" t="n">
        <f aca="false">G145/(100-BE145)*100</f>
        <v>0</v>
      </c>
      <c r="BE145" s="33" t="n">
        <v>0</v>
      </c>
      <c r="BF145" s="33" t="n">
        <f aca="false">144</f>
        <v>144</v>
      </c>
      <c r="BH145" s="33" t="n">
        <f aca="false">F145*AO145</f>
        <v>0</v>
      </c>
      <c r="BI145" s="33" t="n">
        <f aca="false">F145*AP145</f>
        <v>0</v>
      </c>
      <c r="BJ145" s="33" t="n">
        <f aca="false">F145*G145</f>
        <v>0</v>
      </c>
      <c r="BK145" s="33"/>
      <c r="BL145" s="33" t="n">
        <v>62</v>
      </c>
      <c r="BW145" s="33" t="n">
        <v>12</v>
      </c>
      <c r="BX145" s="9" t="s">
        <v>315</v>
      </c>
    </row>
    <row r="146" customFormat="false" ht="46.25" hidden="false" customHeight="false" outlineLevel="0" collapsed="false">
      <c r="A146" s="36"/>
      <c r="C146" s="37" t="s">
        <v>316</v>
      </c>
      <c r="D146" s="40" t="s">
        <v>306</v>
      </c>
      <c r="F146" s="38" t="n">
        <v>22.68</v>
      </c>
      <c r="K146" s="39"/>
    </row>
    <row r="147" customFormat="false" ht="15" hidden="false" customHeight="true" outlineLevel="0" collapsed="false">
      <c r="A147" s="32" t="s">
        <v>317</v>
      </c>
      <c r="B147" s="10" t="s">
        <v>318</v>
      </c>
      <c r="C147" s="9" t="s">
        <v>319</v>
      </c>
      <c r="D147" s="9"/>
      <c r="E147" s="10" t="s">
        <v>172</v>
      </c>
      <c r="F147" s="33" t="n">
        <v>103.899</v>
      </c>
      <c r="G147" s="33" t="n">
        <v>0</v>
      </c>
      <c r="H147" s="33" t="n">
        <f aca="false">F147*AO147</f>
        <v>0</v>
      </c>
      <c r="I147" s="33" t="n">
        <f aca="false">F147*AP147</f>
        <v>0</v>
      </c>
      <c r="J147" s="33" t="n">
        <f aca="false">F147*G147</f>
        <v>0</v>
      </c>
      <c r="K147" s="34" t="s">
        <v>55</v>
      </c>
      <c r="Z147" s="33" t="n">
        <f aca="false">IF(AQ147="5",BJ147,0)</f>
        <v>0</v>
      </c>
      <c r="AB147" s="33" t="n">
        <f aca="false">IF(AQ147="1",BH147,0)</f>
        <v>0</v>
      </c>
      <c r="AC147" s="33" t="n">
        <f aca="false">IF(AQ147="1",BI147,0)</f>
        <v>0</v>
      </c>
      <c r="AD147" s="33" t="n">
        <f aca="false">IF(AQ147="7",BH147,0)</f>
        <v>0</v>
      </c>
      <c r="AE147" s="33" t="n">
        <f aca="false">IF(AQ147="7",BI147,0)</f>
        <v>0</v>
      </c>
      <c r="AF147" s="33" t="n">
        <f aca="false">IF(AQ147="2",BH147,0)</f>
        <v>0</v>
      </c>
      <c r="AG147" s="33" t="n">
        <f aca="false">IF(AQ147="2",BI147,0)</f>
        <v>0</v>
      </c>
      <c r="AH147" s="33" t="n">
        <f aca="false">IF(AQ147="0",BJ147,0)</f>
        <v>0</v>
      </c>
      <c r="AI147" s="18"/>
      <c r="AJ147" s="33" t="n">
        <f aca="false">IF(AN147=0,J147,0)</f>
        <v>0</v>
      </c>
      <c r="AK147" s="33" t="n">
        <f aca="false">IF(AN147=12,J147,0)</f>
        <v>0</v>
      </c>
      <c r="AL147" s="33" t="n">
        <f aca="false">IF(AN147=21,J147,0)</f>
        <v>0</v>
      </c>
      <c r="AN147" s="33" t="n">
        <v>12</v>
      </c>
      <c r="AO147" s="33" t="n">
        <f aca="false">G147*0</f>
        <v>0</v>
      </c>
      <c r="AP147" s="33" t="n">
        <f aca="false">G147*(1-0)</f>
        <v>0</v>
      </c>
      <c r="AQ147" s="35" t="s">
        <v>68</v>
      </c>
      <c r="AV147" s="33" t="n">
        <f aca="false">AW147+AX147</f>
        <v>0</v>
      </c>
      <c r="AW147" s="33" t="n">
        <f aca="false">F147*AO147</f>
        <v>0</v>
      </c>
      <c r="AX147" s="33" t="n">
        <f aca="false">F147*AP147</f>
        <v>0</v>
      </c>
      <c r="AY147" s="35" t="s">
        <v>187</v>
      </c>
      <c r="AZ147" s="35" t="s">
        <v>180</v>
      </c>
      <c r="BA147" s="18" t="s">
        <v>57</v>
      </c>
      <c r="BC147" s="33" t="n">
        <f aca="false">AW147+AX147</f>
        <v>0</v>
      </c>
      <c r="BD147" s="33" t="n">
        <f aca="false">G147/(100-BE147)*100</f>
        <v>0</v>
      </c>
      <c r="BE147" s="33" t="n">
        <v>0</v>
      </c>
      <c r="BF147" s="33" t="n">
        <f aca="false">146</f>
        <v>146</v>
      </c>
      <c r="BH147" s="33" t="n">
        <f aca="false">F147*AO147</f>
        <v>0</v>
      </c>
      <c r="BI147" s="33" t="n">
        <f aca="false">F147*AP147</f>
        <v>0</v>
      </c>
      <c r="BJ147" s="33" t="n">
        <f aca="false">F147*G147</f>
        <v>0</v>
      </c>
      <c r="BK147" s="33"/>
      <c r="BL147" s="33" t="n">
        <v>62</v>
      </c>
      <c r="BW147" s="33" t="n">
        <v>12</v>
      </c>
      <c r="BX147" s="9" t="s">
        <v>319</v>
      </c>
    </row>
    <row r="148" customFormat="false" ht="15" hidden="false" customHeight="false" outlineLevel="0" collapsed="false">
      <c r="A148" s="36"/>
      <c r="C148" s="37" t="s">
        <v>320</v>
      </c>
      <c r="D148" s="37"/>
      <c r="F148" s="38" t="n">
        <v>103.899</v>
      </c>
      <c r="K148" s="39"/>
    </row>
    <row r="149" customFormat="false" ht="15" hidden="false" customHeight="true" outlineLevel="0" collapsed="false">
      <c r="A149" s="27"/>
      <c r="B149" s="28" t="s">
        <v>321</v>
      </c>
      <c r="C149" s="29" t="s">
        <v>322</v>
      </c>
      <c r="D149" s="29"/>
      <c r="E149" s="30" t="s">
        <v>4</v>
      </c>
      <c r="F149" s="30" t="s">
        <v>4</v>
      </c>
      <c r="G149" s="30" t="s">
        <v>4</v>
      </c>
      <c r="H149" s="2" t="n">
        <f aca="false">SUM(H150:H154)</f>
        <v>0</v>
      </c>
      <c r="I149" s="2" t="n">
        <f aca="false">SUM(I150:I154)</f>
        <v>0</v>
      </c>
      <c r="J149" s="2" t="n">
        <f aca="false">SUM(J150:J154)</f>
        <v>0</v>
      </c>
      <c r="K149" s="31"/>
      <c r="AI149" s="18"/>
      <c r="AS149" s="2" t="n">
        <f aca="false">SUM(AJ150:AJ154)</f>
        <v>0</v>
      </c>
      <c r="AT149" s="2" t="n">
        <f aca="false">SUM(AK150:AK154)</f>
        <v>0</v>
      </c>
      <c r="AU149" s="2" t="n">
        <f aca="false">SUM(AL150:AL154)</f>
        <v>0</v>
      </c>
    </row>
    <row r="150" customFormat="false" ht="15" hidden="false" customHeight="true" outlineLevel="0" collapsed="false">
      <c r="A150" s="32" t="s">
        <v>323</v>
      </c>
      <c r="B150" s="10" t="s">
        <v>324</v>
      </c>
      <c r="C150" s="9" t="s">
        <v>325</v>
      </c>
      <c r="D150" s="9"/>
      <c r="E150" s="10" t="s">
        <v>83</v>
      </c>
      <c r="F150" s="33" t="n">
        <v>11.52</v>
      </c>
      <c r="G150" s="33" t="n">
        <v>0</v>
      </c>
      <c r="H150" s="33" t="n">
        <f aca="false">F150*AO150</f>
        <v>0</v>
      </c>
      <c r="I150" s="33" t="n">
        <f aca="false">F150*AP150</f>
        <v>0</v>
      </c>
      <c r="J150" s="33" t="n">
        <f aca="false">F150*G150</f>
        <v>0</v>
      </c>
      <c r="K150" s="34" t="s">
        <v>84</v>
      </c>
      <c r="Z150" s="33" t="n">
        <f aca="false">IF(AQ150="5",BJ150,0)</f>
        <v>0</v>
      </c>
      <c r="AB150" s="33" t="n">
        <f aca="false">IF(AQ150="1",BH150,0)</f>
        <v>0</v>
      </c>
      <c r="AC150" s="33" t="n">
        <f aca="false">IF(AQ150="1",BI150,0)</f>
        <v>0</v>
      </c>
      <c r="AD150" s="33" t="n">
        <f aca="false">IF(AQ150="7",BH150,0)</f>
        <v>0</v>
      </c>
      <c r="AE150" s="33" t="n">
        <f aca="false">IF(AQ150="7",BI150,0)</f>
        <v>0</v>
      </c>
      <c r="AF150" s="33" t="n">
        <f aca="false">IF(AQ150="2",BH150,0)</f>
        <v>0</v>
      </c>
      <c r="AG150" s="33" t="n">
        <f aca="false">IF(AQ150="2",BI150,0)</f>
        <v>0</v>
      </c>
      <c r="AH150" s="33" t="n">
        <f aca="false">IF(AQ150="0",BJ150,0)</f>
        <v>0</v>
      </c>
      <c r="AI150" s="18"/>
      <c r="AJ150" s="33" t="n">
        <f aca="false">IF(AN150=0,J150,0)</f>
        <v>0</v>
      </c>
      <c r="AK150" s="33" t="n">
        <f aca="false">IF(AN150=12,J150,0)</f>
        <v>0</v>
      </c>
      <c r="AL150" s="33" t="n">
        <f aca="false">IF(AN150=21,J150,0)</f>
        <v>0</v>
      </c>
      <c r="AN150" s="33" t="n">
        <v>12</v>
      </c>
      <c r="AO150" s="33" t="n">
        <f aca="false">G150*0.723210059</f>
        <v>0</v>
      </c>
      <c r="AP150" s="33" t="n">
        <f aca="false">G150*(1-0.723210059)</f>
        <v>0</v>
      </c>
      <c r="AQ150" s="35" t="s">
        <v>51</v>
      </c>
      <c r="AV150" s="33" t="n">
        <f aca="false">AW150+AX150</f>
        <v>0</v>
      </c>
      <c r="AW150" s="33" t="n">
        <f aca="false">F150*AO150</f>
        <v>0</v>
      </c>
      <c r="AX150" s="33" t="n">
        <f aca="false">F150*AP150</f>
        <v>0</v>
      </c>
      <c r="AY150" s="35" t="s">
        <v>326</v>
      </c>
      <c r="AZ150" s="35" t="s">
        <v>180</v>
      </c>
      <c r="BA150" s="18" t="s">
        <v>57</v>
      </c>
      <c r="BC150" s="33" t="n">
        <f aca="false">AW150+AX150</f>
        <v>0</v>
      </c>
      <c r="BD150" s="33" t="n">
        <f aca="false">G150/(100-BE150)*100</f>
        <v>0</v>
      </c>
      <c r="BE150" s="33" t="n">
        <v>0</v>
      </c>
      <c r="BF150" s="33" t="n">
        <f aca="false">149</f>
        <v>149</v>
      </c>
      <c r="BH150" s="33" t="n">
        <f aca="false">F150*AO150</f>
        <v>0</v>
      </c>
      <c r="BI150" s="33" t="n">
        <f aca="false">F150*AP150</f>
        <v>0</v>
      </c>
      <c r="BJ150" s="33" t="n">
        <f aca="false">F150*G150</f>
        <v>0</v>
      </c>
      <c r="BK150" s="33"/>
      <c r="BL150" s="33" t="n">
        <v>63</v>
      </c>
      <c r="BW150" s="33" t="n">
        <v>12</v>
      </c>
      <c r="BX150" s="9" t="s">
        <v>325</v>
      </c>
    </row>
    <row r="151" customFormat="false" ht="15" hidden="false" customHeight="false" outlineLevel="0" collapsed="false">
      <c r="A151" s="36"/>
      <c r="C151" s="37" t="s">
        <v>154</v>
      </c>
      <c r="D151" s="37" t="s">
        <v>327</v>
      </c>
      <c r="F151" s="38" t="n">
        <v>11.52</v>
      </c>
      <c r="K151" s="39"/>
    </row>
    <row r="152" customFormat="false" ht="15" hidden="false" customHeight="true" outlineLevel="0" collapsed="false">
      <c r="A152" s="32" t="s">
        <v>328</v>
      </c>
      <c r="B152" s="10" t="s">
        <v>329</v>
      </c>
      <c r="C152" s="9" t="s">
        <v>330</v>
      </c>
      <c r="D152" s="9"/>
      <c r="E152" s="10" t="s">
        <v>91</v>
      </c>
      <c r="F152" s="33" t="n">
        <v>9.6</v>
      </c>
      <c r="G152" s="33" t="n">
        <v>0</v>
      </c>
      <c r="H152" s="33" t="n">
        <f aca="false">F152*AO152</f>
        <v>0</v>
      </c>
      <c r="I152" s="33" t="n">
        <f aca="false">F152*AP152</f>
        <v>0</v>
      </c>
      <c r="J152" s="33" t="n">
        <f aca="false">F152*G152</f>
        <v>0</v>
      </c>
      <c r="K152" s="34" t="s">
        <v>84</v>
      </c>
      <c r="Z152" s="33" t="n">
        <f aca="false">IF(AQ152="5",BJ152,0)</f>
        <v>0</v>
      </c>
      <c r="AB152" s="33" t="n">
        <f aca="false">IF(AQ152="1",BH152,0)</f>
        <v>0</v>
      </c>
      <c r="AC152" s="33" t="n">
        <f aca="false">IF(AQ152="1",BI152,0)</f>
        <v>0</v>
      </c>
      <c r="AD152" s="33" t="n">
        <f aca="false">IF(AQ152="7",BH152,0)</f>
        <v>0</v>
      </c>
      <c r="AE152" s="33" t="n">
        <f aca="false">IF(AQ152="7",BI152,0)</f>
        <v>0</v>
      </c>
      <c r="AF152" s="33" t="n">
        <f aca="false">IF(AQ152="2",BH152,0)</f>
        <v>0</v>
      </c>
      <c r="AG152" s="33" t="n">
        <f aca="false">IF(AQ152="2",BI152,0)</f>
        <v>0</v>
      </c>
      <c r="AH152" s="33" t="n">
        <f aca="false">IF(AQ152="0",BJ152,0)</f>
        <v>0</v>
      </c>
      <c r="AI152" s="18"/>
      <c r="AJ152" s="33" t="n">
        <f aca="false">IF(AN152=0,J152,0)</f>
        <v>0</v>
      </c>
      <c r="AK152" s="33" t="n">
        <f aca="false">IF(AN152=12,J152,0)</f>
        <v>0</v>
      </c>
      <c r="AL152" s="33" t="n">
        <f aca="false">IF(AN152=21,J152,0)</f>
        <v>0</v>
      </c>
      <c r="AN152" s="33" t="n">
        <v>12</v>
      </c>
      <c r="AO152" s="33" t="n">
        <f aca="false">G152*0.714277778</f>
        <v>0</v>
      </c>
      <c r="AP152" s="33" t="n">
        <f aca="false">G152*(1-0.714277778)</f>
        <v>0</v>
      </c>
      <c r="AQ152" s="35" t="s">
        <v>51</v>
      </c>
      <c r="AV152" s="33" t="n">
        <f aca="false">AW152+AX152</f>
        <v>0</v>
      </c>
      <c r="AW152" s="33" t="n">
        <f aca="false">F152*AO152</f>
        <v>0</v>
      </c>
      <c r="AX152" s="33" t="n">
        <f aca="false">F152*AP152</f>
        <v>0</v>
      </c>
      <c r="AY152" s="35" t="s">
        <v>326</v>
      </c>
      <c r="AZ152" s="35" t="s">
        <v>180</v>
      </c>
      <c r="BA152" s="18" t="s">
        <v>57</v>
      </c>
      <c r="BC152" s="33" t="n">
        <f aca="false">AW152+AX152</f>
        <v>0</v>
      </c>
      <c r="BD152" s="33" t="n">
        <f aca="false">G152/(100-BE152)*100</f>
        <v>0</v>
      </c>
      <c r="BE152" s="33" t="n">
        <v>0</v>
      </c>
      <c r="BF152" s="33" t="n">
        <f aca="false">151</f>
        <v>151</v>
      </c>
      <c r="BH152" s="33" t="n">
        <f aca="false">F152*AO152</f>
        <v>0</v>
      </c>
      <c r="BI152" s="33" t="n">
        <f aca="false">F152*AP152</f>
        <v>0</v>
      </c>
      <c r="BJ152" s="33" t="n">
        <f aca="false">F152*G152</f>
        <v>0</v>
      </c>
      <c r="BK152" s="33"/>
      <c r="BL152" s="33" t="n">
        <v>63</v>
      </c>
      <c r="BW152" s="33" t="n">
        <v>12</v>
      </c>
      <c r="BX152" s="9" t="s">
        <v>330</v>
      </c>
    </row>
    <row r="153" customFormat="false" ht="15" hidden="false" customHeight="false" outlineLevel="0" collapsed="false">
      <c r="A153" s="36"/>
      <c r="C153" s="37" t="s">
        <v>331</v>
      </c>
      <c r="D153" s="37"/>
      <c r="F153" s="38" t="n">
        <v>9.6</v>
      </c>
      <c r="K153" s="39"/>
    </row>
    <row r="154" customFormat="false" ht="15" hidden="false" customHeight="true" outlineLevel="0" collapsed="false">
      <c r="A154" s="32" t="s">
        <v>332</v>
      </c>
      <c r="B154" s="10" t="s">
        <v>333</v>
      </c>
      <c r="C154" s="9" t="s">
        <v>334</v>
      </c>
      <c r="D154" s="9"/>
      <c r="E154" s="10" t="s">
        <v>83</v>
      </c>
      <c r="F154" s="33" t="n">
        <v>198.899</v>
      </c>
      <c r="G154" s="33" t="n">
        <v>0</v>
      </c>
      <c r="H154" s="33" t="n">
        <f aca="false">F154*AO154</f>
        <v>0</v>
      </c>
      <c r="I154" s="33" t="n">
        <f aca="false">F154*AP154</f>
        <v>0</v>
      </c>
      <c r="J154" s="33" t="n">
        <f aca="false">F154*G154</f>
        <v>0</v>
      </c>
      <c r="K154" s="34" t="s">
        <v>84</v>
      </c>
      <c r="Z154" s="33" t="n">
        <f aca="false">IF(AQ154="5",BJ154,0)</f>
        <v>0</v>
      </c>
      <c r="AB154" s="33" t="n">
        <f aca="false">IF(AQ154="1",BH154,0)</f>
        <v>0</v>
      </c>
      <c r="AC154" s="33" t="n">
        <f aca="false">IF(AQ154="1",BI154,0)</f>
        <v>0</v>
      </c>
      <c r="AD154" s="33" t="n">
        <f aca="false">IF(AQ154="7",BH154,0)</f>
        <v>0</v>
      </c>
      <c r="AE154" s="33" t="n">
        <f aca="false">IF(AQ154="7",BI154,0)</f>
        <v>0</v>
      </c>
      <c r="AF154" s="33" t="n">
        <f aca="false">IF(AQ154="2",BH154,0)</f>
        <v>0</v>
      </c>
      <c r="AG154" s="33" t="n">
        <f aca="false">IF(AQ154="2",BI154,0)</f>
        <v>0</v>
      </c>
      <c r="AH154" s="33" t="n">
        <f aca="false">IF(AQ154="0",BJ154,0)</f>
        <v>0</v>
      </c>
      <c r="AI154" s="18"/>
      <c r="AJ154" s="33" t="n">
        <f aca="false">IF(AN154=0,J154,0)</f>
        <v>0</v>
      </c>
      <c r="AK154" s="33" t="n">
        <f aca="false">IF(AN154=12,J154,0)</f>
        <v>0</v>
      </c>
      <c r="AL154" s="33" t="n">
        <f aca="false">IF(AN154=21,J154,0)</f>
        <v>0</v>
      </c>
      <c r="AN154" s="33" t="n">
        <v>12</v>
      </c>
      <c r="AO154" s="33" t="n">
        <f aca="false">G154*0.545636348</f>
        <v>0</v>
      </c>
      <c r="AP154" s="33" t="n">
        <f aca="false">G154*(1-0.545636348)</f>
        <v>0</v>
      </c>
      <c r="AQ154" s="35" t="s">
        <v>51</v>
      </c>
      <c r="AV154" s="33" t="n">
        <f aca="false">AW154+AX154</f>
        <v>0</v>
      </c>
      <c r="AW154" s="33" t="n">
        <f aca="false">F154*AO154</f>
        <v>0</v>
      </c>
      <c r="AX154" s="33" t="n">
        <f aca="false">F154*AP154</f>
        <v>0</v>
      </c>
      <c r="AY154" s="35" t="s">
        <v>326</v>
      </c>
      <c r="AZ154" s="35" t="s">
        <v>180</v>
      </c>
      <c r="BA154" s="18" t="s">
        <v>57</v>
      </c>
      <c r="BC154" s="33" t="n">
        <f aca="false">AW154+AX154</f>
        <v>0</v>
      </c>
      <c r="BD154" s="33" t="n">
        <f aca="false">G154/(100-BE154)*100</f>
        <v>0</v>
      </c>
      <c r="BE154" s="33" t="n">
        <v>0</v>
      </c>
      <c r="BF154" s="33" t="n">
        <f aca="false">153</f>
        <v>153</v>
      </c>
      <c r="BH154" s="33" t="n">
        <f aca="false">F154*AO154</f>
        <v>0</v>
      </c>
      <c r="BI154" s="33" t="n">
        <f aca="false">F154*AP154</f>
        <v>0</v>
      </c>
      <c r="BJ154" s="33" t="n">
        <f aca="false">F154*G154</f>
        <v>0</v>
      </c>
      <c r="BK154" s="33"/>
      <c r="BL154" s="33" t="n">
        <v>63</v>
      </c>
      <c r="BW154" s="33" t="n">
        <v>12</v>
      </c>
      <c r="BX154" s="9" t="s">
        <v>334</v>
      </c>
    </row>
    <row r="155" customFormat="false" ht="15" hidden="false" customHeight="false" outlineLevel="0" collapsed="false">
      <c r="A155" s="36"/>
      <c r="C155" s="37" t="s">
        <v>297</v>
      </c>
      <c r="D155" s="37"/>
      <c r="F155" s="38" t="n">
        <v>198.899</v>
      </c>
      <c r="K155" s="39"/>
    </row>
    <row r="156" customFormat="false" ht="15" hidden="false" customHeight="true" outlineLevel="0" collapsed="false">
      <c r="A156" s="27"/>
      <c r="B156" s="28" t="s">
        <v>335</v>
      </c>
      <c r="C156" s="29" t="s">
        <v>336</v>
      </c>
      <c r="D156" s="29"/>
      <c r="E156" s="30" t="s">
        <v>4</v>
      </c>
      <c r="F156" s="30" t="s">
        <v>4</v>
      </c>
      <c r="G156" s="30" t="s">
        <v>4</v>
      </c>
      <c r="H156" s="2" t="n">
        <f aca="false">SUM(H157:H159)</f>
        <v>0</v>
      </c>
      <c r="I156" s="2" t="n">
        <f aca="false">SUM(I157:I159)</f>
        <v>0</v>
      </c>
      <c r="J156" s="2" t="n">
        <f aca="false">SUM(J157:J159)</f>
        <v>0</v>
      </c>
      <c r="K156" s="31"/>
      <c r="AI156" s="18"/>
      <c r="AS156" s="2" t="n">
        <f aca="false">SUM(AJ157:AJ159)</f>
        <v>0</v>
      </c>
      <c r="AT156" s="2" t="n">
        <f aca="false">SUM(AK157:AK159)</f>
        <v>0</v>
      </c>
      <c r="AU156" s="2" t="n">
        <f aca="false">SUM(AL157:AL159)</f>
        <v>0</v>
      </c>
    </row>
    <row r="157" customFormat="false" ht="15" hidden="false" customHeight="true" outlineLevel="0" collapsed="false">
      <c r="A157" s="32" t="s">
        <v>337</v>
      </c>
      <c r="B157" s="10" t="s">
        <v>338</v>
      </c>
      <c r="C157" s="9" t="s">
        <v>339</v>
      </c>
      <c r="D157" s="9"/>
      <c r="E157" s="10" t="s">
        <v>163</v>
      </c>
      <c r="F157" s="33" t="n">
        <v>1</v>
      </c>
      <c r="G157" s="33" t="n">
        <v>0</v>
      </c>
      <c r="H157" s="33" t="n">
        <f aca="false">F157*AO157</f>
        <v>0</v>
      </c>
      <c r="I157" s="33" t="n">
        <f aca="false">F157*AP157</f>
        <v>0</v>
      </c>
      <c r="J157" s="33" t="n">
        <f aca="false">F157*G157</f>
        <v>0</v>
      </c>
      <c r="K157" s="34" t="s">
        <v>84</v>
      </c>
      <c r="Z157" s="33" t="n">
        <f aca="false">IF(AQ157="5",BJ157,0)</f>
        <v>0</v>
      </c>
      <c r="AB157" s="33" t="n">
        <f aca="false">IF(AQ157="1",BH157,0)</f>
        <v>0</v>
      </c>
      <c r="AC157" s="33" t="n">
        <f aca="false">IF(AQ157="1",BI157,0)</f>
        <v>0</v>
      </c>
      <c r="AD157" s="33" t="n">
        <f aca="false">IF(AQ157="7",BH157,0)</f>
        <v>0</v>
      </c>
      <c r="AE157" s="33" t="n">
        <f aca="false">IF(AQ157="7",BI157,0)</f>
        <v>0</v>
      </c>
      <c r="AF157" s="33" t="n">
        <f aca="false">IF(AQ157="2",BH157,0)</f>
        <v>0</v>
      </c>
      <c r="AG157" s="33" t="n">
        <f aca="false">IF(AQ157="2",BI157,0)</f>
        <v>0</v>
      </c>
      <c r="AH157" s="33" t="n">
        <f aca="false">IF(AQ157="0",BJ157,0)</f>
        <v>0</v>
      </c>
      <c r="AI157" s="18"/>
      <c r="AJ157" s="33" t="n">
        <f aca="false">IF(AN157=0,J157,0)</f>
        <v>0</v>
      </c>
      <c r="AK157" s="33" t="n">
        <f aca="false">IF(AN157=12,J157,0)</f>
        <v>0</v>
      </c>
      <c r="AL157" s="33" t="n">
        <f aca="false">IF(AN157=21,J157,0)</f>
        <v>0</v>
      </c>
      <c r="AN157" s="33" t="n">
        <v>12</v>
      </c>
      <c r="AO157" s="33" t="n">
        <f aca="false">G157*0.662409208</f>
        <v>0</v>
      </c>
      <c r="AP157" s="33" t="n">
        <f aca="false">G157*(1-0.662409208)</f>
        <v>0</v>
      </c>
      <c r="AQ157" s="35" t="s">
        <v>51</v>
      </c>
      <c r="AV157" s="33" t="n">
        <f aca="false">AW157+AX157</f>
        <v>0</v>
      </c>
      <c r="AW157" s="33" t="n">
        <f aca="false">F157*AO157</f>
        <v>0</v>
      </c>
      <c r="AX157" s="33" t="n">
        <f aca="false">F157*AP157</f>
        <v>0</v>
      </c>
      <c r="AY157" s="35" t="s">
        <v>340</v>
      </c>
      <c r="AZ157" s="35" t="s">
        <v>180</v>
      </c>
      <c r="BA157" s="18" t="s">
        <v>57</v>
      </c>
      <c r="BC157" s="33" t="n">
        <f aca="false">AW157+AX157</f>
        <v>0</v>
      </c>
      <c r="BD157" s="33" t="n">
        <f aca="false">G157/(100-BE157)*100</f>
        <v>0</v>
      </c>
      <c r="BE157" s="33" t="n">
        <v>0</v>
      </c>
      <c r="BF157" s="33" t="n">
        <f aca="false">156</f>
        <v>156</v>
      </c>
      <c r="BH157" s="33" t="n">
        <f aca="false">F157*AO157</f>
        <v>0</v>
      </c>
      <c r="BI157" s="33" t="n">
        <f aca="false">F157*AP157</f>
        <v>0</v>
      </c>
      <c r="BJ157" s="33" t="n">
        <f aca="false">F157*G157</f>
        <v>0</v>
      </c>
      <c r="BK157" s="33"/>
      <c r="BL157" s="33" t="n">
        <v>64</v>
      </c>
      <c r="BW157" s="33" t="n">
        <v>12</v>
      </c>
      <c r="BX157" s="9" t="s">
        <v>339</v>
      </c>
    </row>
    <row r="158" customFormat="false" ht="15" hidden="false" customHeight="false" outlineLevel="0" collapsed="false">
      <c r="A158" s="36"/>
      <c r="C158" s="37" t="s">
        <v>51</v>
      </c>
      <c r="D158" s="37"/>
      <c r="F158" s="38" t="n">
        <v>1</v>
      </c>
      <c r="K158" s="39"/>
    </row>
    <row r="159" customFormat="false" ht="15" hidden="false" customHeight="true" outlineLevel="0" collapsed="false">
      <c r="A159" s="32" t="s">
        <v>224</v>
      </c>
      <c r="B159" s="10" t="s">
        <v>341</v>
      </c>
      <c r="C159" s="9" t="s">
        <v>342</v>
      </c>
      <c r="D159" s="9"/>
      <c r="E159" s="10" t="s">
        <v>163</v>
      </c>
      <c r="F159" s="33" t="n">
        <v>1</v>
      </c>
      <c r="G159" s="33" t="n">
        <v>0</v>
      </c>
      <c r="H159" s="33" t="n">
        <f aca="false">F159*AO159</f>
        <v>0</v>
      </c>
      <c r="I159" s="33" t="n">
        <f aca="false">F159*AP159</f>
        <v>0</v>
      </c>
      <c r="J159" s="33" t="n">
        <f aca="false">F159*G159</f>
        <v>0</v>
      </c>
      <c r="K159" s="34" t="s">
        <v>84</v>
      </c>
      <c r="Z159" s="33" t="n">
        <f aca="false">IF(AQ159="5",BJ159,0)</f>
        <v>0</v>
      </c>
      <c r="AB159" s="33" t="n">
        <f aca="false">IF(AQ159="1",BH159,0)</f>
        <v>0</v>
      </c>
      <c r="AC159" s="33" t="n">
        <f aca="false">IF(AQ159="1",BI159,0)</f>
        <v>0</v>
      </c>
      <c r="AD159" s="33" t="n">
        <f aca="false">IF(AQ159="7",BH159,0)</f>
        <v>0</v>
      </c>
      <c r="AE159" s="33" t="n">
        <f aca="false">IF(AQ159="7",BI159,0)</f>
        <v>0</v>
      </c>
      <c r="AF159" s="33" t="n">
        <f aca="false">IF(AQ159="2",BH159,0)</f>
        <v>0</v>
      </c>
      <c r="AG159" s="33" t="n">
        <f aca="false">IF(AQ159="2",BI159,0)</f>
        <v>0</v>
      </c>
      <c r="AH159" s="33" t="n">
        <f aca="false">IF(AQ159="0",BJ159,0)</f>
        <v>0</v>
      </c>
      <c r="AI159" s="18"/>
      <c r="AJ159" s="33" t="n">
        <f aca="false">IF(AN159=0,J159,0)</f>
        <v>0</v>
      </c>
      <c r="AK159" s="33" t="n">
        <f aca="false">IF(AN159=12,J159,0)</f>
        <v>0</v>
      </c>
      <c r="AL159" s="33" t="n">
        <f aca="false">IF(AN159=21,J159,0)</f>
        <v>0</v>
      </c>
      <c r="AN159" s="33" t="n">
        <v>12</v>
      </c>
      <c r="AO159" s="33" t="n">
        <f aca="false">G159*0.906451142</f>
        <v>0</v>
      </c>
      <c r="AP159" s="33" t="n">
        <f aca="false">G159*(1-0.906451142)</f>
        <v>0</v>
      </c>
      <c r="AQ159" s="35" t="s">
        <v>51</v>
      </c>
      <c r="AV159" s="33" t="n">
        <f aca="false">AW159+AX159</f>
        <v>0</v>
      </c>
      <c r="AW159" s="33" t="n">
        <f aca="false">F159*AO159</f>
        <v>0</v>
      </c>
      <c r="AX159" s="33" t="n">
        <f aca="false">F159*AP159</f>
        <v>0</v>
      </c>
      <c r="AY159" s="35" t="s">
        <v>340</v>
      </c>
      <c r="AZ159" s="35" t="s">
        <v>180</v>
      </c>
      <c r="BA159" s="18" t="s">
        <v>57</v>
      </c>
      <c r="BC159" s="33" t="n">
        <f aca="false">AW159+AX159</f>
        <v>0</v>
      </c>
      <c r="BD159" s="33" t="n">
        <f aca="false">G159/(100-BE159)*100</f>
        <v>0</v>
      </c>
      <c r="BE159" s="33" t="n">
        <v>0</v>
      </c>
      <c r="BF159" s="33" t="n">
        <f aca="false">158</f>
        <v>158</v>
      </c>
      <c r="BH159" s="33" t="n">
        <f aca="false">F159*AO159</f>
        <v>0</v>
      </c>
      <c r="BI159" s="33" t="n">
        <f aca="false">F159*AP159</f>
        <v>0</v>
      </c>
      <c r="BJ159" s="33" t="n">
        <f aca="false">F159*G159</f>
        <v>0</v>
      </c>
      <c r="BK159" s="33"/>
      <c r="BL159" s="33" t="n">
        <v>64</v>
      </c>
      <c r="BW159" s="33" t="n">
        <v>12</v>
      </c>
      <c r="BX159" s="9" t="s">
        <v>342</v>
      </c>
    </row>
    <row r="160" customFormat="false" ht="15" hidden="false" customHeight="false" outlineLevel="0" collapsed="false">
      <c r="A160" s="36"/>
      <c r="C160" s="37" t="s">
        <v>51</v>
      </c>
      <c r="D160" s="37" t="s">
        <v>343</v>
      </c>
      <c r="F160" s="38" t="n">
        <v>1</v>
      </c>
      <c r="K160" s="39"/>
    </row>
    <row r="161" customFormat="false" ht="15" hidden="false" customHeight="true" outlineLevel="0" collapsed="false">
      <c r="A161" s="27"/>
      <c r="B161" s="28" t="s">
        <v>344</v>
      </c>
      <c r="C161" s="29" t="s">
        <v>345</v>
      </c>
      <c r="D161" s="29"/>
      <c r="E161" s="30" t="s">
        <v>4</v>
      </c>
      <c r="F161" s="30" t="s">
        <v>4</v>
      </c>
      <c r="G161" s="30" t="s">
        <v>4</v>
      </c>
      <c r="H161" s="2" t="n">
        <f aca="false">SUM(H162:H168)</f>
        <v>0</v>
      </c>
      <c r="I161" s="2" t="n">
        <f aca="false">SUM(I162:I168)</f>
        <v>0</v>
      </c>
      <c r="J161" s="2" t="n">
        <f aca="false">SUM(J162:J168)</f>
        <v>0</v>
      </c>
      <c r="K161" s="31"/>
      <c r="AI161" s="18"/>
      <c r="AS161" s="2" t="n">
        <f aca="false">SUM(AJ162:AJ168)</f>
        <v>0</v>
      </c>
      <c r="AT161" s="2" t="n">
        <f aca="false">SUM(AK162:AK168)</f>
        <v>0</v>
      </c>
      <c r="AU161" s="2" t="n">
        <f aca="false">SUM(AL162:AL168)</f>
        <v>0</v>
      </c>
    </row>
    <row r="162" customFormat="false" ht="25.5" hidden="false" customHeight="true" outlineLevel="0" collapsed="false">
      <c r="A162" s="32" t="s">
        <v>346</v>
      </c>
      <c r="B162" s="10" t="s">
        <v>347</v>
      </c>
      <c r="C162" s="9" t="s">
        <v>348</v>
      </c>
      <c r="D162" s="9"/>
      <c r="E162" s="10" t="s">
        <v>83</v>
      </c>
      <c r="F162" s="33" t="n">
        <v>167.2</v>
      </c>
      <c r="G162" s="33" t="n">
        <v>0</v>
      </c>
      <c r="H162" s="33" t="n">
        <f aca="false">F162*AO162</f>
        <v>0</v>
      </c>
      <c r="I162" s="33" t="n">
        <f aca="false">F162*AP162</f>
        <v>0</v>
      </c>
      <c r="J162" s="33" t="n">
        <f aca="false">F162*G162</f>
        <v>0</v>
      </c>
      <c r="K162" s="34" t="s">
        <v>84</v>
      </c>
      <c r="Z162" s="33" t="n">
        <f aca="false">IF(AQ162="5",BJ162,0)</f>
        <v>0</v>
      </c>
      <c r="AB162" s="33" t="n">
        <f aca="false">IF(AQ162="1",BH162,0)</f>
        <v>0</v>
      </c>
      <c r="AC162" s="33" t="n">
        <f aca="false">IF(AQ162="1",BI162,0)</f>
        <v>0</v>
      </c>
      <c r="AD162" s="33" t="n">
        <f aca="false">IF(AQ162="7",BH162,0)</f>
        <v>0</v>
      </c>
      <c r="AE162" s="33" t="n">
        <f aca="false">IF(AQ162="7",BI162,0)</f>
        <v>0</v>
      </c>
      <c r="AF162" s="33" t="n">
        <f aca="false">IF(AQ162="2",BH162,0)</f>
        <v>0</v>
      </c>
      <c r="AG162" s="33" t="n">
        <f aca="false">IF(AQ162="2",BI162,0)</f>
        <v>0</v>
      </c>
      <c r="AH162" s="33" t="n">
        <f aca="false">IF(AQ162="0",BJ162,0)</f>
        <v>0</v>
      </c>
      <c r="AI162" s="18"/>
      <c r="AJ162" s="33" t="n">
        <f aca="false">IF(AN162=0,J162,0)</f>
        <v>0</v>
      </c>
      <c r="AK162" s="33" t="n">
        <f aca="false">IF(AN162=12,J162,0)</f>
        <v>0</v>
      </c>
      <c r="AL162" s="33" t="n">
        <f aca="false">IF(AN162=21,J162,0)</f>
        <v>0</v>
      </c>
      <c r="AN162" s="33" t="n">
        <v>12</v>
      </c>
      <c r="AO162" s="33" t="n">
        <f aca="false">G162*0.792828125</f>
        <v>0</v>
      </c>
      <c r="AP162" s="33" t="n">
        <f aca="false">G162*(1-0.792828125)</f>
        <v>0</v>
      </c>
      <c r="AQ162" s="35" t="s">
        <v>80</v>
      </c>
      <c r="AV162" s="33" t="n">
        <f aca="false">AW162+AX162</f>
        <v>0</v>
      </c>
      <c r="AW162" s="33" t="n">
        <f aca="false">F162*AO162</f>
        <v>0</v>
      </c>
      <c r="AX162" s="33" t="n">
        <f aca="false">F162*AP162</f>
        <v>0</v>
      </c>
      <c r="AY162" s="35" t="s">
        <v>349</v>
      </c>
      <c r="AZ162" s="35" t="s">
        <v>350</v>
      </c>
      <c r="BA162" s="18" t="s">
        <v>57</v>
      </c>
      <c r="BC162" s="33" t="n">
        <f aca="false">AW162+AX162</f>
        <v>0</v>
      </c>
      <c r="BD162" s="33" t="n">
        <f aca="false">G162/(100-BE162)*100</f>
        <v>0</v>
      </c>
      <c r="BE162" s="33" t="n">
        <v>0</v>
      </c>
      <c r="BF162" s="33" t="n">
        <f aca="false">161</f>
        <v>161</v>
      </c>
      <c r="BH162" s="33" t="n">
        <f aca="false">F162*AO162</f>
        <v>0</v>
      </c>
      <c r="BI162" s="33" t="n">
        <f aca="false">F162*AP162</f>
        <v>0</v>
      </c>
      <c r="BJ162" s="33" t="n">
        <f aca="false">F162*G162</f>
        <v>0</v>
      </c>
      <c r="BK162" s="33"/>
      <c r="BL162" s="33" t="n">
        <v>711</v>
      </c>
      <c r="BW162" s="33" t="n">
        <v>12</v>
      </c>
      <c r="BX162" s="9" t="s">
        <v>348</v>
      </c>
    </row>
    <row r="163" customFormat="false" ht="15" hidden="false" customHeight="false" outlineLevel="0" collapsed="false">
      <c r="A163" s="36"/>
      <c r="C163" s="37" t="s">
        <v>351</v>
      </c>
      <c r="D163" s="37" t="s">
        <v>352</v>
      </c>
      <c r="F163" s="38" t="n">
        <v>167.2</v>
      </c>
      <c r="K163" s="39"/>
    </row>
    <row r="164" customFormat="false" ht="15" hidden="false" customHeight="true" outlineLevel="0" collapsed="false">
      <c r="A164" s="32" t="s">
        <v>353</v>
      </c>
      <c r="B164" s="10" t="s">
        <v>354</v>
      </c>
      <c r="C164" s="9" t="s">
        <v>355</v>
      </c>
      <c r="D164" s="9"/>
      <c r="E164" s="10" t="s">
        <v>83</v>
      </c>
      <c r="F164" s="33" t="n">
        <v>11.52</v>
      </c>
      <c r="G164" s="33" t="n">
        <v>0</v>
      </c>
      <c r="H164" s="33" t="n">
        <f aca="false">F164*AO164</f>
        <v>0</v>
      </c>
      <c r="I164" s="33" t="n">
        <f aca="false">F164*AP164</f>
        <v>0</v>
      </c>
      <c r="J164" s="33" t="n">
        <f aca="false">F164*G164</f>
        <v>0</v>
      </c>
      <c r="K164" s="34" t="s">
        <v>84</v>
      </c>
      <c r="Z164" s="33" t="n">
        <f aca="false">IF(AQ164="5",BJ164,0)</f>
        <v>0</v>
      </c>
      <c r="AB164" s="33" t="n">
        <f aca="false">IF(AQ164="1",BH164,0)</f>
        <v>0</v>
      </c>
      <c r="AC164" s="33" t="n">
        <f aca="false">IF(AQ164="1",BI164,0)</f>
        <v>0</v>
      </c>
      <c r="AD164" s="33" t="n">
        <f aca="false">IF(AQ164="7",BH164,0)</f>
        <v>0</v>
      </c>
      <c r="AE164" s="33" t="n">
        <f aca="false">IF(AQ164="7",BI164,0)</f>
        <v>0</v>
      </c>
      <c r="AF164" s="33" t="n">
        <f aca="false">IF(AQ164="2",BH164,0)</f>
        <v>0</v>
      </c>
      <c r="AG164" s="33" t="n">
        <f aca="false">IF(AQ164="2",BI164,0)</f>
        <v>0</v>
      </c>
      <c r="AH164" s="33" t="n">
        <f aca="false">IF(AQ164="0",BJ164,0)</f>
        <v>0</v>
      </c>
      <c r="AI164" s="18"/>
      <c r="AJ164" s="33" t="n">
        <f aca="false">IF(AN164=0,J164,0)</f>
        <v>0</v>
      </c>
      <c r="AK164" s="33" t="n">
        <f aca="false">IF(AN164=12,J164,0)</f>
        <v>0</v>
      </c>
      <c r="AL164" s="33" t="n">
        <f aca="false">IF(AN164=21,J164,0)</f>
        <v>0</v>
      </c>
      <c r="AN164" s="33" t="n">
        <v>12</v>
      </c>
      <c r="AO164" s="33" t="n">
        <f aca="false">G164*0.732112514</f>
        <v>0</v>
      </c>
      <c r="AP164" s="33" t="n">
        <f aca="false">G164*(1-0.732112514)</f>
        <v>0</v>
      </c>
      <c r="AQ164" s="35" t="s">
        <v>80</v>
      </c>
      <c r="AV164" s="33" t="n">
        <f aca="false">AW164+AX164</f>
        <v>0</v>
      </c>
      <c r="AW164" s="33" t="n">
        <f aca="false">F164*AO164</f>
        <v>0</v>
      </c>
      <c r="AX164" s="33" t="n">
        <f aca="false">F164*AP164</f>
        <v>0</v>
      </c>
      <c r="AY164" s="35" t="s">
        <v>349</v>
      </c>
      <c r="AZ164" s="35" t="s">
        <v>350</v>
      </c>
      <c r="BA164" s="18" t="s">
        <v>57</v>
      </c>
      <c r="BC164" s="33" t="n">
        <f aca="false">AW164+AX164</f>
        <v>0</v>
      </c>
      <c r="BD164" s="33" t="n">
        <f aca="false">G164/(100-BE164)*100</f>
        <v>0</v>
      </c>
      <c r="BE164" s="33" t="n">
        <v>0</v>
      </c>
      <c r="BF164" s="33" t="n">
        <f aca="false">163</f>
        <v>163</v>
      </c>
      <c r="BH164" s="33" t="n">
        <f aca="false">F164*AO164</f>
        <v>0</v>
      </c>
      <c r="BI164" s="33" t="n">
        <f aca="false">F164*AP164</f>
        <v>0</v>
      </c>
      <c r="BJ164" s="33" t="n">
        <f aca="false">F164*G164</f>
        <v>0</v>
      </c>
      <c r="BK164" s="33"/>
      <c r="BL164" s="33" t="n">
        <v>711</v>
      </c>
      <c r="BW164" s="33" t="n">
        <v>12</v>
      </c>
      <c r="BX164" s="9" t="s">
        <v>355</v>
      </c>
    </row>
    <row r="165" customFormat="false" ht="15" hidden="false" customHeight="false" outlineLevel="0" collapsed="false">
      <c r="A165" s="36"/>
      <c r="C165" s="37" t="s">
        <v>154</v>
      </c>
      <c r="D165" s="37" t="s">
        <v>356</v>
      </c>
      <c r="F165" s="38" t="n">
        <v>11.52</v>
      </c>
      <c r="K165" s="39"/>
    </row>
    <row r="166" customFormat="false" ht="15" hidden="false" customHeight="true" outlineLevel="0" collapsed="false">
      <c r="A166" s="32" t="s">
        <v>357</v>
      </c>
      <c r="B166" s="10" t="s">
        <v>358</v>
      </c>
      <c r="C166" s="9" t="s">
        <v>359</v>
      </c>
      <c r="D166" s="9"/>
      <c r="E166" s="10" t="s">
        <v>83</v>
      </c>
      <c r="F166" s="33" t="n">
        <v>11.52</v>
      </c>
      <c r="G166" s="33" t="n">
        <v>0</v>
      </c>
      <c r="H166" s="33" t="n">
        <f aca="false">F166*AO166</f>
        <v>0</v>
      </c>
      <c r="I166" s="33" t="n">
        <f aca="false">F166*AP166</f>
        <v>0</v>
      </c>
      <c r="J166" s="33" t="n">
        <f aca="false">F166*G166</f>
        <v>0</v>
      </c>
      <c r="K166" s="34" t="s">
        <v>84</v>
      </c>
      <c r="Z166" s="33" t="n">
        <f aca="false">IF(AQ166="5",BJ166,0)</f>
        <v>0</v>
      </c>
      <c r="AB166" s="33" t="n">
        <f aca="false">IF(AQ166="1",BH166,0)</f>
        <v>0</v>
      </c>
      <c r="AC166" s="33" t="n">
        <f aca="false">IF(AQ166="1",BI166,0)</f>
        <v>0</v>
      </c>
      <c r="AD166" s="33" t="n">
        <f aca="false">IF(AQ166="7",BH166,0)</f>
        <v>0</v>
      </c>
      <c r="AE166" s="33" t="n">
        <f aca="false">IF(AQ166="7",BI166,0)</f>
        <v>0</v>
      </c>
      <c r="AF166" s="33" t="n">
        <f aca="false">IF(AQ166="2",BH166,0)</f>
        <v>0</v>
      </c>
      <c r="AG166" s="33" t="n">
        <f aca="false">IF(AQ166="2",BI166,0)</f>
        <v>0</v>
      </c>
      <c r="AH166" s="33" t="n">
        <f aca="false">IF(AQ166="0",BJ166,0)</f>
        <v>0</v>
      </c>
      <c r="AI166" s="18"/>
      <c r="AJ166" s="33" t="n">
        <f aca="false">IF(AN166=0,J166,0)</f>
        <v>0</v>
      </c>
      <c r="AK166" s="33" t="n">
        <f aca="false">IF(AN166=12,J166,0)</f>
        <v>0</v>
      </c>
      <c r="AL166" s="33" t="n">
        <f aca="false">IF(AN166=21,J166,0)</f>
        <v>0</v>
      </c>
      <c r="AN166" s="33" t="n">
        <v>12</v>
      </c>
      <c r="AO166" s="33" t="n">
        <f aca="false">G166*0.781916509</f>
        <v>0</v>
      </c>
      <c r="AP166" s="33" t="n">
        <f aca="false">G166*(1-0.781916509)</f>
        <v>0</v>
      </c>
      <c r="AQ166" s="35" t="s">
        <v>80</v>
      </c>
      <c r="AV166" s="33" t="n">
        <f aca="false">AW166+AX166</f>
        <v>0</v>
      </c>
      <c r="AW166" s="33" t="n">
        <f aca="false">F166*AO166</f>
        <v>0</v>
      </c>
      <c r="AX166" s="33" t="n">
        <f aca="false">F166*AP166</f>
        <v>0</v>
      </c>
      <c r="AY166" s="35" t="s">
        <v>349</v>
      </c>
      <c r="AZ166" s="35" t="s">
        <v>350</v>
      </c>
      <c r="BA166" s="18" t="s">
        <v>57</v>
      </c>
      <c r="BC166" s="33" t="n">
        <f aca="false">AW166+AX166</f>
        <v>0</v>
      </c>
      <c r="BD166" s="33" t="n">
        <f aca="false">G166/(100-BE166)*100</f>
        <v>0</v>
      </c>
      <c r="BE166" s="33" t="n">
        <v>0</v>
      </c>
      <c r="BF166" s="33" t="n">
        <f aca="false">165</f>
        <v>165</v>
      </c>
      <c r="BH166" s="33" t="n">
        <f aca="false">F166*AO166</f>
        <v>0</v>
      </c>
      <c r="BI166" s="33" t="n">
        <f aca="false">F166*AP166</f>
        <v>0</v>
      </c>
      <c r="BJ166" s="33" t="n">
        <f aca="false">F166*G166</f>
        <v>0</v>
      </c>
      <c r="BK166" s="33"/>
      <c r="BL166" s="33" t="n">
        <v>711</v>
      </c>
      <c r="BW166" s="33" t="n">
        <v>12</v>
      </c>
      <c r="BX166" s="9" t="s">
        <v>359</v>
      </c>
    </row>
    <row r="167" customFormat="false" ht="15" hidden="false" customHeight="false" outlineLevel="0" collapsed="false">
      <c r="A167" s="36"/>
      <c r="C167" s="37" t="s">
        <v>154</v>
      </c>
      <c r="D167" s="37" t="s">
        <v>360</v>
      </c>
      <c r="F167" s="38" t="n">
        <v>11.52</v>
      </c>
      <c r="K167" s="39"/>
    </row>
    <row r="168" customFormat="false" ht="15" hidden="false" customHeight="true" outlineLevel="0" collapsed="false">
      <c r="A168" s="32" t="s">
        <v>361</v>
      </c>
      <c r="B168" s="10" t="s">
        <v>362</v>
      </c>
      <c r="C168" s="9" t="s">
        <v>363</v>
      </c>
      <c r="D168" s="9"/>
      <c r="E168" s="10" t="s">
        <v>172</v>
      </c>
      <c r="F168" s="33" t="n">
        <v>1.088</v>
      </c>
      <c r="G168" s="33" t="n">
        <v>0</v>
      </c>
      <c r="H168" s="33" t="n">
        <f aca="false">F168*AO168</f>
        <v>0</v>
      </c>
      <c r="I168" s="33" t="n">
        <f aca="false">F168*AP168</f>
        <v>0</v>
      </c>
      <c r="J168" s="33" t="n">
        <f aca="false">F168*G168</f>
        <v>0</v>
      </c>
      <c r="K168" s="34" t="s">
        <v>84</v>
      </c>
      <c r="Z168" s="33" t="n">
        <f aca="false">IF(AQ168="5",BJ168,0)</f>
        <v>0</v>
      </c>
      <c r="AB168" s="33" t="n">
        <f aca="false">IF(AQ168="1",BH168,0)</f>
        <v>0</v>
      </c>
      <c r="AC168" s="33" t="n">
        <f aca="false">IF(AQ168="1",BI168,0)</f>
        <v>0</v>
      </c>
      <c r="AD168" s="33" t="n">
        <f aca="false">IF(AQ168="7",BH168,0)</f>
        <v>0</v>
      </c>
      <c r="AE168" s="33" t="n">
        <f aca="false">IF(AQ168="7",BI168,0)</f>
        <v>0</v>
      </c>
      <c r="AF168" s="33" t="n">
        <f aca="false">IF(AQ168="2",BH168,0)</f>
        <v>0</v>
      </c>
      <c r="AG168" s="33" t="n">
        <f aca="false">IF(AQ168="2",BI168,0)</f>
        <v>0</v>
      </c>
      <c r="AH168" s="33" t="n">
        <f aca="false">IF(AQ168="0",BJ168,0)</f>
        <v>0</v>
      </c>
      <c r="AI168" s="18"/>
      <c r="AJ168" s="33" t="n">
        <f aca="false">IF(AN168=0,J168,0)</f>
        <v>0</v>
      </c>
      <c r="AK168" s="33" t="n">
        <f aca="false">IF(AN168=12,J168,0)</f>
        <v>0</v>
      </c>
      <c r="AL168" s="33" t="n">
        <f aca="false">IF(AN168=21,J168,0)</f>
        <v>0</v>
      </c>
      <c r="AN168" s="33" t="n">
        <v>12</v>
      </c>
      <c r="AO168" s="33" t="n">
        <f aca="false">G168*0</f>
        <v>0</v>
      </c>
      <c r="AP168" s="33" t="n">
        <f aca="false">G168*(1-0)</f>
        <v>0</v>
      </c>
      <c r="AQ168" s="35" t="s">
        <v>68</v>
      </c>
      <c r="AV168" s="33" t="n">
        <f aca="false">AW168+AX168</f>
        <v>0</v>
      </c>
      <c r="AW168" s="33" t="n">
        <f aca="false">F168*AO168</f>
        <v>0</v>
      </c>
      <c r="AX168" s="33" t="n">
        <f aca="false">F168*AP168</f>
        <v>0</v>
      </c>
      <c r="AY168" s="35" t="s">
        <v>349</v>
      </c>
      <c r="AZ168" s="35" t="s">
        <v>350</v>
      </c>
      <c r="BA168" s="18" t="s">
        <v>57</v>
      </c>
      <c r="BC168" s="33" t="n">
        <f aca="false">AW168+AX168</f>
        <v>0</v>
      </c>
      <c r="BD168" s="33" t="n">
        <f aca="false">G168/(100-BE168)*100</f>
        <v>0</v>
      </c>
      <c r="BE168" s="33" t="n">
        <v>0</v>
      </c>
      <c r="BF168" s="33" t="n">
        <f aca="false">167</f>
        <v>167</v>
      </c>
      <c r="BH168" s="33" t="n">
        <f aca="false">F168*AO168</f>
        <v>0</v>
      </c>
      <c r="BI168" s="33" t="n">
        <f aca="false">F168*AP168</f>
        <v>0</v>
      </c>
      <c r="BJ168" s="33" t="n">
        <f aca="false">F168*G168</f>
        <v>0</v>
      </c>
      <c r="BK168" s="33"/>
      <c r="BL168" s="33" t="n">
        <v>711</v>
      </c>
      <c r="BW168" s="33" t="n">
        <v>12</v>
      </c>
      <c r="BX168" s="9" t="s">
        <v>363</v>
      </c>
    </row>
    <row r="169" customFormat="false" ht="15" hidden="false" customHeight="false" outlineLevel="0" collapsed="false">
      <c r="A169" s="36"/>
      <c r="C169" s="37" t="s">
        <v>364</v>
      </c>
      <c r="D169" s="37"/>
      <c r="F169" s="38" t="n">
        <v>1.088</v>
      </c>
      <c r="K169" s="39"/>
    </row>
    <row r="170" customFormat="false" ht="15" hidden="false" customHeight="true" outlineLevel="0" collapsed="false">
      <c r="A170" s="27"/>
      <c r="B170" s="28" t="s">
        <v>365</v>
      </c>
      <c r="C170" s="29" t="s">
        <v>366</v>
      </c>
      <c r="D170" s="29"/>
      <c r="E170" s="30" t="s">
        <v>4</v>
      </c>
      <c r="F170" s="30" t="s">
        <v>4</v>
      </c>
      <c r="G170" s="30" t="s">
        <v>4</v>
      </c>
      <c r="H170" s="2" t="n">
        <f aca="false">SUM(H171:H176)</f>
        <v>0</v>
      </c>
      <c r="I170" s="2" t="n">
        <f aca="false">SUM(I171:I176)</f>
        <v>0</v>
      </c>
      <c r="J170" s="2" t="n">
        <f aca="false">SUM(J171:J176)</f>
        <v>0</v>
      </c>
      <c r="K170" s="31"/>
      <c r="AI170" s="18"/>
      <c r="AS170" s="2" t="n">
        <f aca="false">SUM(AJ171:AJ176)</f>
        <v>0</v>
      </c>
      <c r="AT170" s="2" t="n">
        <f aca="false">SUM(AK171:AK176)</f>
        <v>0</v>
      </c>
      <c r="AU170" s="2" t="n">
        <f aca="false">SUM(AL171:AL176)</f>
        <v>0</v>
      </c>
    </row>
    <row r="171" customFormat="false" ht="15" hidden="false" customHeight="true" outlineLevel="0" collapsed="false">
      <c r="A171" s="32" t="s">
        <v>367</v>
      </c>
      <c r="B171" s="10" t="s">
        <v>368</v>
      </c>
      <c r="C171" s="9" t="s">
        <v>369</v>
      </c>
      <c r="D171" s="9"/>
      <c r="E171" s="10" t="s">
        <v>83</v>
      </c>
      <c r="F171" s="33" t="n">
        <v>114.5475</v>
      </c>
      <c r="G171" s="33" t="n">
        <v>0</v>
      </c>
      <c r="H171" s="33" t="n">
        <f aca="false">F171*AO171</f>
        <v>0</v>
      </c>
      <c r="I171" s="33" t="n">
        <f aca="false">F171*AP171</f>
        <v>0</v>
      </c>
      <c r="J171" s="33" t="n">
        <f aca="false">F171*G171</f>
        <v>0</v>
      </c>
      <c r="K171" s="34" t="s">
        <v>55</v>
      </c>
      <c r="Z171" s="33" t="n">
        <f aca="false">IF(AQ171="5",BJ171,0)</f>
        <v>0</v>
      </c>
      <c r="AB171" s="33" t="n">
        <f aca="false">IF(AQ171="1",BH171,0)</f>
        <v>0</v>
      </c>
      <c r="AC171" s="33" t="n">
        <f aca="false">IF(AQ171="1",BI171,0)</f>
        <v>0</v>
      </c>
      <c r="AD171" s="33" t="n">
        <f aca="false">IF(AQ171="7",BH171,0)</f>
        <v>0</v>
      </c>
      <c r="AE171" s="33" t="n">
        <f aca="false">IF(AQ171="7",BI171,0)</f>
        <v>0</v>
      </c>
      <c r="AF171" s="33" t="n">
        <f aca="false">IF(AQ171="2",BH171,0)</f>
        <v>0</v>
      </c>
      <c r="AG171" s="33" t="n">
        <f aca="false">IF(AQ171="2",BI171,0)</f>
        <v>0</v>
      </c>
      <c r="AH171" s="33" t="n">
        <f aca="false">IF(AQ171="0",BJ171,0)</f>
        <v>0</v>
      </c>
      <c r="AI171" s="18"/>
      <c r="AJ171" s="33" t="n">
        <f aca="false">IF(AN171=0,J171,0)</f>
        <v>0</v>
      </c>
      <c r="AK171" s="33" t="n">
        <f aca="false">IF(AN171=12,J171,0)</f>
        <v>0</v>
      </c>
      <c r="AL171" s="33" t="n">
        <f aca="false">IF(AN171=21,J171,0)</f>
        <v>0</v>
      </c>
      <c r="AN171" s="33" t="n">
        <v>12</v>
      </c>
      <c r="AO171" s="33" t="n">
        <f aca="false">G171*0.079399095</f>
        <v>0</v>
      </c>
      <c r="AP171" s="33" t="n">
        <f aca="false">G171*(1-0.079399095)</f>
        <v>0</v>
      </c>
      <c r="AQ171" s="35" t="s">
        <v>80</v>
      </c>
      <c r="AV171" s="33" t="n">
        <f aca="false">AW171+AX171</f>
        <v>0</v>
      </c>
      <c r="AW171" s="33" t="n">
        <f aca="false">F171*AO171</f>
        <v>0</v>
      </c>
      <c r="AX171" s="33" t="n">
        <f aca="false">F171*AP171</f>
        <v>0</v>
      </c>
      <c r="AY171" s="35" t="s">
        <v>370</v>
      </c>
      <c r="AZ171" s="35" t="s">
        <v>371</v>
      </c>
      <c r="BA171" s="18" t="s">
        <v>57</v>
      </c>
      <c r="BC171" s="33" t="n">
        <f aca="false">AW171+AX171</f>
        <v>0</v>
      </c>
      <c r="BD171" s="33" t="n">
        <f aca="false">G171/(100-BE171)*100</f>
        <v>0</v>
      </c>
      <c r="BE171" s="33" t="n">
        <v>0</v>
      </c>
      <c r="BF171" s="33" t="n">
        <f aca="false">170</f>
        <v>170</v>
      </c>
      <c r="BH171" s="33" t="n">
        <f aca="false">F171*AO171</f>
        <v>0</v>
      </c>
      <c r="BI171" s="33" t="n">
        <f aca="false">F171*AP171</f>
        <v>0</v>
      </c>
      <c r="BJ171" s="33" t="n">
        <f aca="false">F171*G171</f>
        <v>0</v>
      </c>
      <c r="BK171" s="33"/>
      <c r="BL171" s="33" t="n">
        <v>763</v>
      </c>
      <c r="BW171" s="33" t="n">
        <v>12</v>
      </c>
      <c r="BX171" s="9" t="s">
        <v>369</v>
      </c>
    </row>
    <row r="172" customFormat="false" ht="15" hidden="false" customHeight="false" outlineLevel="0" collapsed="false">
      <c r="A172" s="36"/>
      <c r="C172" s="37" t="s">
        <v>372</v>
      </c>
      <c r="D172" s="37"/>
      <c r="F172" s="38" t="n">
        <v>19.5075</v>
      </c>
      <c r="K172" s="39"/>
    </row>
    <row r="173" customFormat="false" ht="15" hidden="false" customHeight="false" outlineLevel="0" collapsed="false">
      <c r="A173" s="36"/>
      <c r="C173" s="37" t="s">
        <v>373</v>
      </c>
      <c r="D173" s="37"/>
      <c r="F173" s="38" t="n">
        <v>95.04</v>
      </c>
      <c r="K173" s="39"/>
    </row>
    <row r="174" customFormat="false" ht="15" hidden="false" customHeight="true" outlineLevel="0" collapsed="false">
      <c r="A174" s="32" t="s">
        <v>374</v>
      </c>
      <c r="B174" s="10" t="s">
        <v>375</v>
      </c>
      <c r="C174" s="9" t="s">
        <v>376</v>
      </c>
      <c r="D174" s="9"/>
      <c r="E174" s="10" t="s">
        <v>83</v>
      </c>
      <c r="F174" s="33" t="n">
        <v>19.507</v>
      </c>
      <c r="G174" s="33" t="n">
        <v>0</v>
      </c>
      <c r="H174" s="33" t="n">
        <f aca="false">F174*AO174</f>
        <v>0</v>
      </c>
      <c r="I174" s="33" t="n">
        <f aca="false">F174*AP174</f>
        <v>0</v>
      </c>
      <c r="J174" s="33" t="n">
        <f aca="false">F174*G174</f>
        <v>0</v>
      </c>
      <c r="K174" s="34" t="s">
        <v>55</v>
      </c>
      <c r="Z174" s="33" t="n">
        <f aca="false">IF(AQ174="5",BJ174,0)</f>
        <v>0</v>
      </c>
      <c r="AB174" s="33" t="n">
        <f aca="false">IF(AQ174="1",BH174,0)</f>
        <v>0</v>
      </c>
      <c r="AC174" s="33" t="n">
        <f aca="false">IF(AQ174="1",BI174,0)</f>
        <v>0</v>
      </c>
      <c r="AD174" s="33" t="n">
        <f aca="false">IF(AQ174="7",BH174,0)</f>
        <v>0</v>
      </c>
      <c r="AE174" s="33" t="n">
        <f aca="false">IF(AQ174="7",BI174,0)</f>
        <v>0</v>
      </c>
      <c r="AF174" s="33" t="n">
        <f aca="false">IF(AQ174="2",BH174,0)</f>
        <v>0</v>
      </c>
      <c r="AG174" s="33" t="n">
        <f aca="false">IF(AQ174="2",BI174,0)</f>
        <v>0</v>
      </c>
      <c r="AH174" s="33" t="n">
        <f aca="false">IF(AQ174="0",BJ174,0)</f>
        <v>0</v>
      </c>
      <c r="AI174" s="18"/>
      <c r="AJ174" s="33" t="n">
        <f aca="false">IF(AN174=0,J174,0)</f>
        <v>0</v>
      </c>
      <c r="AK174" s="33" t="n">
        <f aca="false">IF(AN174=12,J174,0)</f>
        <v>0</v>
      </c>
      <c r="AL174" s="33" t="n">
        <f aca="false">IF(AN174=21,J174,0)</f>
        <v>0</v>
      </c>
      <c r="AN174" s="33" t="n">
        <v>12</v>
      </c>
      <c r="AO174" s="33" t="n">
        <f aca="false">G174*0.823646706</f>
        <v>0</v>
      </c>
      <c r="AP174" s="33" t="n">
        <f aca="false">G174*(1-0.823646706)</f>
        <v>0</v>
      </c>
      <c r="AQ174" s="35" t="s">
        <v>80</v>
      </c>
      <c r="AV174" s="33" t="n">
        <f aca="false">AW174+AX174</f>
        <v>0</v>
      </c>
      <c r="AW174" s="33" t="n">
        <f aca="false">F174*AO174</f>
        <v>0</v>
      </c>
      <c r="AX174" s="33" t="n">
        <f aca="false">F174*AP174</f>
        <v>0</v>
      </c>
      <c r="AY174" s="35" t="s">
        <v>370</v>
      </c>
      <c r="AZ174" s="35" t="s">
        <v>371</v>
      </c>
      <c r="BA174" s="18" t="s">
        <v>57</v>
      </c>
      <c r="BC174" s="33" t="n">
        <f aca="false">AW174+AX174</f>
        <v>0</v>
      </c>
      <c r="BD174" s="33" t="n">
        <f aca="false">G174/(100-BE174)*100</f>
        <v>0</v>
      </c>
      <c r="BE174" s="33" t="n">
        <v>0</v>
      </c>
      <c r="BF174" s="33" t="n">
        <f aca="false">173</f>
        <v>173</v>
      </c>
      <c r="BH174" s="33" t="n">
        <f aca="false">F174*AO174</f>
        <v>0</v>
      </c>
      <c r="BI174" s="33" t="n">
        <f aca="false">F174*AP174</f>
        <v>0</v>
      </c>
      <c r="BJ174" s="33" t="n">
        <f aca="false">F174*G174</f>
        <v>0</v>
      </c>
      <c r="BK174" s="33"/>
      <c r="BL174" s="33" t="n">
        <v>763</v>
      </c>
      <c r="BW174" s="33" t="n">
        <v>12</v>
      </c>
      <c r="BX174" s="9" t="s">
        <v>376</v>
      </c>
    </row>
    <row r="175" customFormat="false" ht="15" hidden="false" customHeight="false" outlineLevel="0" collapsed="false">
      <c r="A175" s="36"/>
      <c r="C175" s="37" t="s">
        <v>377</v>
      </c>
      <c r="D175" s="37"/>
      <c r="F175" s="38" t="n">
        <v>19.507</v>
      </c>
      <c r="K175" s="39"/>
    </row>
    <row r="176" customFormat="false" ht="15" hidden="false" customHeight="true" outlineLevel="0" collapsed="false">
      <c r="A176" s="32" t="s">
        <v>378</v>
      </c>
      <c r="B176" s="10" t="s">
        <v>318</v>
      </c>
      <c r="C176" s="9" t="s">
        <v>319</v>
      </c>
      <c r="D176" s="9"/>
      <c r="E176" s="10" t="s">
        <v>172</v>
      </c>
      <c r="F176" s="33" t="n">
        <v>3.132</v>
      </c>
      <c r="G176" s="33" t="n">
        <v>0</v>
      </c>
      <c r="H176" s="33" t="n">
        <f aca="false">F176*AO176</f>
        <v>0</v>
      </c>
      <c r="I176" s="33" t="n">
        <f aca="false">F176*AP176</f>
        <v>0</v>
      </c>
      <c r="J176" s="33" t="n">
        <f aca="false">F176*G176</f>
        <v>0</v>
      </c>
      <c r="K176" s="34" t="s">
        <v>55</v>
      </c>
      <c r="Z176" s="33" t="n">
        <f aca="false">IF(AQ176="5",BJ176,0)</f>
        <v>0</v>
      </c>
      <c r="AB176" s="33" t="n">
        <f aca="false">IF(AQ176="1",BH176,0)</f>
        <v>0</v>
      </c>
      <c r="AC176" s="33" t="n">
        <f aca="false">IF(AQ176="1",BI176,0)</f>
        <v>0</v>
      </c>
      <c r="AD176" s="33" t="n">
        <f aca="false">IF(AQ176="7",BH176,0)</f>
        <v>0</v>
      </c>
      <c r="AE176" s="33" t="n">
        <f aca="false">IF(AQ176="7",BI176,0)</f>
        <v>0</v>
      </c>
      <c r="AF176" s="33" t="n">
        <f aca="false">IF(AQ176="2",BH176,0)</f>
        <v>0</v>
      </c>
      <c r="AG176" s="33" t="n">
        <f aca="false">IF(AQ176="2",BI176,0)</f>
        <v>0</v>
      </c>
      <c r="AH176" s="33" t="n">
        <f aca="false">IF(AQ176="0",BJ176,0)</f>
        <v>0</v>
      </c>
      <c r="AI176" s="18"/>
      <c r="AJ176" s="33" t="n">
        <f aca="false">IF(AN176=0,J176,0)</f>
        <v>0</v>
      </c>
      <c r="AK176" s="33" t="n">
        <f aca="false">IF(AN176=12,J176,0)</f>
        <v>0</v>
      </c>
      <c r="AL176" s="33" t="n">
        <f aca="false">IF(AN176=21,J176,0)</f>
        <v>0</v>
      </c>
      <c r="AN176" s="33" t="n">
        <v>12</v>
      </c>
      <c r="AO176" s="33" t="n">
        <f aca="false">G176*0</f>
        <v>0</v>
      </c>
      <c r="AP176" s="33" t="n">
        <f aca="false">G176*(1-0)</f>
        <v>0</v>
      </c>
      <c r="AQ176" s="35" t="s">
        <v>68</v>
      </c>
      <c r="AV176" s="33" t="n">
        <f aca="false">AW176+AX176</f>
        <v>0</v>
      </c>
      <c r="AW176" s="33" t="n">
        <f aca="false">F176*AO176</f>
        <v>0</v>
      </c>
      <c r="AX176" s="33" t="n">
        <f aca="false">F176*AP176</f>
        <v>0</v>
      </c>
      <c r="AY176" s="35" t="s">
        <v>370</v>
      </c>
      <c r="AZ176" s="35" t="s">
        <v>371</v>
      </c>
      <c r="BA176" s="18" t="s">
        <v>57</v>
      </c>
      <c r="BC176" s="33" t="n">
        <f aca="false">AW176+AX176</f>
        <v>0</v>
      </c>
      <c r="BD176" s="33" t="n">
        <f aca="false">G176/(100-BE176)*100</f>
        <v>0</v>
      </c>
      <c r="BE176" s="33" t="n">
        <v>0</v>
      </c>
      <c r="BF176" s="33" t="n">
        <f aca="false">175</f>
        <v>175</v>
      </c>
      <c r="BH176" s="33" t="n">
        <f aca="false">F176*AO176</f>
        <v>0</v>
      </c>
      <c r="BI176" s="33" t="n">
        <f aca="false">F176*AP176</f>
        <v>0</v>
      </c>
      <c r="BJ176" s="33" t="n">
        <f aca="false">F176*G176</f>
        <v>0</v>
      </c>
      <c r="BK176" s="33"/>
      <c r="BL176" s="33" t="n">
        <v>763</v>
      </c>
      <c r="BW176" s="33" t="n">
        <v>12</v>
      </c>
      <c r="BX176" s="9" t="s">
        <v>319</v>
      </c>
    </row>
    <row r="177" customFormat="false" ht="15" hidden="false" customHeight="false" outlineLevel="0" collapsed="false">
      <c r="A177" s="36"/>
      <c r="C177" s="37" t="s">
        <v>379</v>
      </c>
      <c r="D177" s="37"/>
      <c r="F177" s="38" t="n">
        <v>3.132</v>
      </c>
      <c r="K177" s="39"/>
    </row>
    <row r="178" customFormat="false" ht="15" hidden="false" customHeight="true" outlineLevel="0" collapsed="false">
      <c r="A178" s="27"/>
      <c r="B178" s="28" t="s">
        <v>380</v>
      </c>
      <c r="C178" s="29" t="s">
        <v>381</v>
      </c>
      <c r="D178" s="29"/>
      <c r="E178" s="30" t="s">
        <v>4</v>
      </c>
      <c r="F178" s="30" t="s">
        <v>4</v>
      </c>
      <c r="G178" s="30" t="s">
        <v>4</v>
      </c>
      <c r="H178" s="2" t="n">
        <f aca="false">SUM(H179:H200)</f>
        <v>0</v>
      </c>
      <c r="I178" s="2" t="n">
        <f aca="false">SUM(I179:I200)</f>
        <v>0</v>
      </c>
      <c r="J178" s="2" t="n">
        <f aca="false">SUM(J179:J200)</f>
        <v>0</v>
      </c>
      <c r="K178" s="31"/>
      <c r="AI178" s="18"/>
      <c r="AS178" s="2" t="n">
        <f aca="false">SUM(AJ179:AJ200)</f>
        <v>0</v>
      </c>
      <c r="AT178" s="2" t="n">
        <f aca="false">SUM(AK179:AK200)</f>
        <v>0</v>
      </c>
      <c r="AU178" s="2" t="n">
        <f aca="false">SUM(AL179:AL200)</f>
        <v>0</v>
      </c>
    </row>
    <row r="179" customFormat="false" ht="15" hidden="false" customHeight="true" outlineLevel="0" collapsed="false">
      <c r="A179" s="32" t="s">
        <v>382</v>
      </c>
      <c r="B179" s="10" t="s">
        <v>383</v>
      </c>
      <c r="C179" s="9" t="s">
        <v>384</v>
      </c>
      <c r="D179" s="9"/>
      <c r="E179" s="10" t="s">
        <v>163</v>
      </c>
      <c r="F179" s="33" t="n">
        <v>3212</v>
      </c>
      <c r="G179" s="33" t="n">
        <v>0</v>
      </c>
      <c r="H179" s="33" t="n">
        <f aca="false">F179*AO179</f>
        <v>0</v>
      </c>
      <c r="I179" s="33" t="n">
        <f aca="false">F179*AP179</f>
        <v>0</v>
      </c>
      <c r="J179" s="33" t="n">
        <f aca="false">F179*G179</f>
        <v>0</v>
      </c>
      <c r="K179" s="34" t="s">
        <v>55</v>
      </c>
      <c r="Z179" s="33" t="n">
        <f aca="false">IF(AQ179="5",BJ179,0)</f>
        <v>0</v>
      </c>
      <c r="AB179" s="33" t="n">
        <f aca="false">IF(AQ179="1",BH179,0)</f>
        <v>0</v>
      </c>
      <c r="AC179" s="33" t="n">
        <f aca="false">IF(AQ179="1",BI179,0)</f>
        <v>0</v>
      </c>
      <c r="AD179" s="33" t="n">
        <f aca="false">IF(AQ179="7",BH179,0)</f>
        <v>0</v>
      </c>
      <c r="AE179" s="33" t="n">
        <f aca="false">IF(AQ179="7",BI179,0)</f>
        <v>0</v>
      </c>
      <c r="AF179" s="33" t="n">
        <f aca="false">IF(AQ179="2",BH179,0)</f>
        <v>0</v>
      </c>
      <c r="AG179" s="33" t="n">
        <f aca="false">IF(AQ179="2",BI179,0)</f>
        <v>0</v>
      </c>
      <c r="AH179" s="33" t="n">
        <f aca="false">IF(AQ179="0",BJ179,0)</f>
        <v>0</v>
      </c>
      <c r="AI179" s="18"/>
      <c r="AJ179" s="33" t="n">
        <f aca="false">IF(AN179=0,J179,0)</f>
        <v>0</v>
      </c>
      <c r="AK179" s="33" t="n">
        <f aca="false">IF(AN179=12,J179,0)</f>
        <v>0</v>
      </c>
      <c r="AL179" s="33" t="n">
        <f aca="false">IF(AN179=21,J179,0)</f>
        <v>0</v>
      </c>
      <c r="AN179" s="33" t="n">
        <v>12</v>
      </c>
      <c r="AO179" s="33" t="n">
        <f aca="false">G179*0.471645022</f>
        <v>0</v>
      </c>
      <c r="AP179" s="33" t="n">
        <f aca="false">G179*(1-0.471645022)</f>
        <v>0</v>
      </c>
      <c r="AQ179" s="35" t="s">
        <v>80</v>
      </c>
      <c r="AV179" s="33" t="n">
        <f aca="false">AW179+AX179</f>
        <v>0</v>
      </c>
      <c r="AW179" s="33" t="n">
        <f aca="false">F179*AO179</f>
        <v>0</v>
      </c>
      <c r="AX179" s="33" t="n">
        <f aca="false">F179*AP179</f>
        <v>0</v>
      </c>
      <c r="AY179" s="35" t="s">
        <v>385</v>
      </c>
      <c r="AZ179" s="35" t="s">
        <v>350</v>
      </c>
      <c r="BA179" s="18" t="s">
        <v>57</v>
      </c>
      <c r="BC179" s="33" t="n">
        <f aca="false">AW179+AX179</f>
        <v>0</v>
      </c>
      <c r="BD179" s="33" t="n">
        <f aca="false">G179/(100-BE179)*100</f>
        <v>0</v>
      </c>
      <c r="BE179" s="33" t="n">
        <v>0</v>
      </c>
      <c r="BF179" s="33" t="n">
        <f aca="false">178</f>
        <v>178</v>
      </c>
      <c r="BH179" s="33" t="n">
        <f aca="false">F179*AO179</f>
        <v>0</v>
      </c>
      <c r="BI179" s="33" t="n">
        <f aca="false">F179*AP179</f>
        <v>0</v>
      </c>
      <c r="BJ179" s="33" t="n">
        <f aca="false">F179*G179</f>
        <v>0</v>
      </c>
      <c r="BK179" s="33"/>
      <c r="BL179" s="33" t="n">
        <v>712</v>
      </c>
      <c r="BW179" s="33" t="n">
        <v>12</v>
      </c>
      <c r="BX179" s="9" t="s">
        <v>384</v>
      </c>
    </row>
    <row r="180" customFormat="false" ht="23.85" hidden="false" customHeight="false" outlineLevel="0" collapsed="false">
      <c r="A180" s="36"/>
      <c r="C180" s="37" t="s">
        <v>386</v>
      </c>
      <c r="D180" s="40" t="s">
        <v>387</v>
      </c>
      <c r="F180" s="38" t="n">
        <v>3212</v>
      </c>
      <c r="K180" s="39"/>
    </row>
    <row r="181" customFormat="false" ht="15" hidden="false" customHeight="true" outlineLevel="0" collapsed="false">
      <c r="A181" s="32" t="s">
        <v>144</v>
      </c>
      <c r="B181" s="10" t="s">
        <v>388</v>
      </c>
      <c r="C181" s="9" t="s">
        <v>389</v>
      </c>
      <c r="D181" s="9"/>
      <c r="E181" s="10" t="s">
        <v>83</v>
      </c>
      <c r="F181" s="33" t="n">
        <v>404.2295</v>
      </c>
      <c r="G181" s="33" t="n">
        <v>0</v>
      </c>
      <c r="H181" s="33" t="n">
        <f aca="false">F181*AO181</f>
        <v>0</v>
      </c>
      <c r="I181" s="33" t="n">
        <f aca="false">F181*AP181</f>
        <v>0</v>
      </c>
      <c r="J181" s="33" t="n">
        <f aca="false">F181*G181</f>
        <v>0</v>
      </c>
      <c r="K181" s="34" t="s">
        <v>55</v>
      </c>
      <c r="Z181" s="33" t="n">
        <f aca="false">IF(AQ181="5",BJ181,0)</f>
        <v>0</v>
      </c>
      <c r="AB181" s="33" t="n">
        <f aca="false">IF(AQ181="1",BH181,0)</f>
        <v>0</v>
      </c>
      <c r="AC181" s="33" t="n">
        <f aca="false">IF(AQ181="1",BI181,0)</f>
        <v>0</v>
      </c>
      <c r="AD181" s="33" t="n">
        <f aca="false">IF(AQ181="7",BH181,0)</f>
        <v>0</v>
      </c>
      <c r="AE181" s="33" t="n">
        <f aca="false">IF(AQ181="7",BI181,0)</f>
        <v>0</v>
      </c>
      <c r="AF181" s="33" t="n">
        <f aca="false">IF(AQ181="2",BH181,0)</f>
        <v>0</v>
      </c>
      <c r="AG181" s="33" t="n">
        <f aca="false">IF(AQ181="2",BI181,0)</f>
        <v>0</v>
      </c>
      <c r="AH181" s="33" t="n">
        <f aca="false">IF(AQ181="0",BJ181,0)</f>
        <v>0</v>
      </c>
      <c r="AI181" s="18"/>
      <c r="AJ181" s="33" t="n">
        <f aca="false">IF(AN181=0,J181,0)</f>
        <v>0</v>
      </c>
      <c r="AK181" s="33" t="n">
        <f aca="false">IF(AN181=12,J181,0)</f>
        <v>0</v>
      </c>
      <c r="AL181" s="33" t="n">
        <f aca="false">IF(AN181=21,J181,0)</f>
        <v>0</v>
      </c>
      <c r="AN181" s="33" t="n">
        <v>12</v>
      </c>
      <c r="AO181" s="33" t="n">
        <f aca="false">G181*0.426504189</f>
        <v>0</v>
      </c>
      <c r="AP181" s="33" t="n">
        <f aca="false">G181*(1-0.426504189)</f>
        <v>0</v>
      </c>
      <c r="AQ181" s="35" t="s">
        <v>80</v>
      </c>
      <c r="AV181" s="33" t="n">
        <f aca="false">AW181+AX181</f>
        <v>0</v>
      </c>
      <c r="AW181" s="33" t="n">
        <f aca="false">F181*AO181</f>
        <v>0</v>
      </c>
      <c r="AX181" s="33" t="n">
        <f aca="false">F181*AP181</f>
        <v>0</v>
      </c>
      <c r="AY181" s="35" t="s">
        <v>385</v>
      </c>
      <c r="AZ181" s="35" t="s">
        <v>350</v>
      </c>
      <c r="BA181" s="18" t="s">
        <v>57</v>
      </c>
      <c r="BC181" s="33" t="n">
        <f aca="false">AW181+AX181</f>
        <v>0</v>
      </c>
      <c r="BD181" s="33" t="n">
        <f aca="false">G181/(100-BE181)*100</f>
        <v>0</v>
      </c>
      <c r="BE181" s="33" t="n">
        <v>0</v>
      </c>
      <c r="BF181" s="33" t="n">
        <f aca="false">180</f>
        <v>180</v>
      </c>
      <c r="BH181" s="33" t="n">
        <f aca="false">F181*AO181</f>
        <v>0</v>
      </c>
      <c r="BI181" s="33" t="n">
        <f aca="false">F181*AP181</f>
        <v>0</v>
      </c>
      <c r="BJ181" s="33" t="n">
        <f aca="false">F181*G181</f>
        <v>0</v>
      </c>
      <c r="BK181" s="33"/>
      <c r="BL181" s="33" t="n">
        <v>712</v>
      </c>
      <c r="BW181" s="33" t="n">
        <v>12</v>
      </c>
      <c r="BX181" s="9" t="s">
        <v>389</v>
      </c>
    </row>
    <row r="182" customFormat="false" ht="15" hidden="false" customHeight="false" outlineLevel="0" collapsed="false">
      <c r="A182" s="36"/>
      <c r="C182" s="37" t="s">
        <v>390</v>
      </c>
      <c r="D182" s="37"/>
      <c r="F182" s="38" t="n">
        <v>375.5</v>
      </c>
      <c r="K182" s="39"/>
    </row>
    <row r="183" customFormat="false" ht="15" hidden="false" customHeight="false" outlineLevel="0" collapsed="false">
      <c r="A183" s="36"/>
      <c r="C183" s="37" t="s">
        <v>391</v>
      </c>
      <c r="D183" s="37" t="s">
        <v>392</v>
      </c>
      <c r="F183" s="38" t="n">
        <v>28.7295</v>
      </c>
      <c r="K183" s="39"/>
    </row>
    <row r="184" customFormat="false" ht="15" hidden="false" customHeight="true" outlineLevel="0" collapsed="false">
      <c r="A184" s="32" t="s">
        <v>393</v>
      </c>
      <c r="B184" s="10" t="s">
        <v>394</v>
      </c>
      <c r="C184" s="9" t="s">
        <v>395</v>
      </c>
      <c r="D184" s="9"/>
      <c r="E184" s="10" t="s">
        <v>83</v>
      </c>
      <c r="F184" s="33" t="n">
        <v>461.949</v>
      </c>
      <c r="G184" s="33" t="n">
        <v>0</v>
      </c>
      <c r="H184" s="33" t="n">
        <f aca="false">F184*AO184</f>
        <v>0</v>
      </c>
      <c r="I184" s="33" t="n">
        <f aca="false">F184*AP184</f>
        <v>0</v>
      </c>
      <c r="J184" s="33" t="n">
        <f aca="false">F184*G184</f>
        <v>0</v>
      </c>
      <c r="K184" s="34" t="s">
        <v>84</v>
      </c>
      <c r="Z184" s="33" t="n">
        <f aca="false">IF(AQ184="5",BJ184,0)</f>
        <v>0</v>
      </c>
      <c r="AB184" s="33" t="n">
        <f aca="false">IF(AQ184="1",BH184,0)</f>
        <v>0</v>
      </c>
      <c r="AC184" s="33" t="n">
        <f aca="false">IF(AQ184="1",BI184,0)</f>
        <v>0</v>
      </c>
      <c r="AD184" s="33" t="n">
        <f aca="false">IF(AQ184="7",BH184,0)</f>
        <v>0</v>
      </c>
      <c r="AE184" s="33" t="n">
        <f aca="false">IF(AQ184="7",BI184,0)</f>
        <v>0</v>
      </c>
      <c r="AF184" s="33" t="n">
        <f aca="false">IF(AQ184="2",BH184,0)</f>
        <v>0</v>
      </c>
      <c r="AG184" s="33" t="n">
        <f aca="false">IF(AQ184="2",BI184,0)</f>
        <v>0</v>
      </c>
      <c r="AH184" s="33" t="n">
        <f aca="false">IF(AQ184="0",BJ184,0)</f>
        <v>0</v>
      </c>
      <c r="AI184" s="18"/>
      <c r="AJ184" s="33" t="n">
        <f aca="false">IF(AN184=0,J184,0)</f>
        <v>0</v>
      </c>
      <c r="AK184" s="33" t="n">
        <f aca="false">IF(AN184=12,J184,0)</f>
        <v>0</v>
      </c>
      <c r="AL184" s="33" t="n">
        <f aca="false">IF(AN184=21,J184,0)</f>
        <v>0</v>
      </c>
      <c r="AN184" s="33" t="n">
        <v>12</v>
      </c>
      <c r="AO184" s="33" t="n">
        <f aca="false">G184*0.040707967</f>
        <v>0</v>
      </c>
      <c r="AP184" s="33" t="n">
        <f aca="false">G184*(1-0.040707967)</f>
        <v>0</v>
      </c>
      <c r="AQ184" s="35" t="s">
        <v>80</v>
      </c>
      <c r="AV184" s="33" t="n">
        <f aca="false">AW184+AX184</f>
        <v>0</v>
      </c>
      <c r="AW184" s="33" t="n">
        <f aca="false">F184*AO184</f>
        <v>0</v>
      </c>
      <c r="AX184" s="33" t="n">
        <f aca="false">F184*AP184</f>
        <v>0</v>
      </c>
      <c r="AY184" s="35" t="s">
        <v>385</v>
      </c>
      <c r="AZ184" s="35" t="s">
        <v>350</v>
      </c>
      <c r="BA184" s="18" t="s">
        <v>57</v>
      </c>
      <c r="BC184" s="33" t="n">
        <f aca="false">AW184+AX184</f>
        <v>0</v>
      </c>
      <c r="BD184" s="33" t="n">
        <f aca="false">G184/(100-BE184)*100</f>
        <v>0</v>
      </c>
      <c r="BE184" s="33" t="n">
        <v>0</v>
      </c>
      <c r="BF184" s="33" t="n">
        <f aca="false">183</f>
        <v>183</v>
      </c>
      <c r="BH184" s="33" t="n">
        <f aca="false">F184*AO184</f>
        <v>0</v>
      </c>
      <c r="BI184" s="33" t="n">
        <f aca="false">F184*AP184</f>
        <v>0</v>
      </c>
      <c r="BJ184" s="33" t="n">
        <f aca="false">F184*G184</f>
        <v>0</v>
      </c>
      <c r="BK184" s="33"/>
      <c r="BL184" s="33" t="n">
        <v>712</v>
      </c>
      <c r="BW184" s="33" t="n">
        <v>12</v>
      </c>
      <c r="BX184" s="9" t="s">
        <v>395</v>
      </c>
    </row>
    <row r="185" customFormat="false" ht="15" hidden="false" customHeight="false" outlineLevel="0" collapsed="false">
      <c r="A185" s="36"/>
      <c r="C185" s="37" t="s">
        <v>396</v>
      </c>
      <c r="D185" s="37"/>
      <c r="F185" s="38" t="n">
        <v>461.949</v>
      </c>
      <c r="K185" s="39"/>
    </row>
    <row r="186" customFormat="false" ht="15" hidden="false" customHeight="true" outlineLevel="0" collapsed="false">
      <c r="A186" s="32" t="s">
        <v>174</v>
      </c>
      <c r="B186" s="10" t="s">
        <v>397</v>
      </c>
      <c r="C186" s="9" t="s">
        <v>398</v>
      </c>
      <c r="D186" s="9"/>
      <c r="E186" s="10" t="s">
        <v>83</v>
      </c>
      <c r="F186" s="33" t="n">
        <v>531.24135</v>
      </c>
      <c r="G186" s="33" t="n">
        <v>0</v>
      </c>
      <c r="H186" s="33" t="n">
        <f aca="false">F186*AO186</f>
        <v>0</v>
      </c>
      <c r="I186" s="33" t="n">
        <f aca="false">F186*AP186</f>
        <v>0</v>
      </c>
      <c r="J186" s="33" t="n">
        <f aca="false">F186*G186</f>
        <v>0</v>
      </c>
      <c r="K186" s="34" t="s">
        <v>84</v>
      </c>
      <c r="Z186" s="33" t="n">
        <f aca="false">IF(AQ186="5",BJ186,0)</f>
        <v>0</v>
      </c>
      <c r="AB186" s="33" t="n">
        <f aca="false">IF(AQ186="1",BH186,0)</f>
        <v>0</v>
      </c>
      <c r="AC186" s="33" t="n">
        <f aca="false">IF(AQ186="1",BI186,0)</f>
        <v>0</v>
      </c>
      <c r="AD186" s="33" t="n">
        <f aca="false">IF(AQ186="7",BH186,0)</f>
        <v>0</v>
      </c>
      <c r="AE186" s="33" t="n">
        <f aca="false">IF(AQ186="7",BI186,0)</f>
        <v>0</v>
      </c>
      <c r="AF186" s="33" t="n">
        <f aca="false">IF(AQ186="2",BH186,0)</f>
        <v>0</v>
      </c>
      <c r="AG186" s="33" t="n">
        <f aca="false">IF(AQ186="2",BI186,0)</f>
        <v>0</v>
      </c>
      <c r="AH186" s="33" t="n">
        <f aca="false">IF(AQ186="0",BJ186,0)</f>
        <v>0</v>
      </c>
      <c r="AI186" s="18"/>
      <c r="AJ186" s="33" t="n">
        <f aca="false">IF(AN186=0,J186,0)</f>
        <v>0</v>
      </c>
      <c r="AK186" s="33" t="n">
        <f aca="false">IF(AN186=12,J186,0)</f>
        <v>0</v>
      </c>
      <c r="AL186" s="33" t="n">
        <f aca="false">IF(AN186=21,J186,0)</f>
        <v>0</v>
      </c>
      <c r="AN186" s="33" t="n">
        <v>12</v>
      </c>
      <c r="AO186" s="33" t="n">
        <f aca="false">G186*1</f>
        <v>0</v>
      </c>
      <c r="AP186" s="33" t="n">
        <f aca="false">G186*(1-1)</f>
        <v>0</v>
      </c>
      <c r="AQ186" s="35" t="s">
        <v>80</v>
      </c>
      <c r="AV186" s="33" t="n">
        <f aca="false">AW186+AX186</f>
        <v>0</v>
      </c>
      <c r="AW186" s="33" t="n">
        <f aca="false">F186*AO186</f>
        <v>0</v>
      </c>
      <c r="AX186" s="33" t="n">
        <f aca="false">F186*AP186</f>
        <v>0</v>
      </c>
      <c r="AY186" s="35" t="s">
        <v>385</v>
      </c>
      <c r="AZ186" s="35" t="s">
        <v>350</v>
      </c>
      <c r="BA186" s="18" t="s">
        <v>57</v>
      </c>
      <c r="BC186" s="33" t="n">
        <f aca="false">AW186+AX186</f>
        <v>0</v>
      </c>
      <c r="BD186" s="33" t="n">
        <f aca="false">G186/(100-BE186)*100</f>
        <v>0</v>
      </c>
      <c r="BE186" s="33" t="n">
        <v>0</v>
      </c>
      <c r="BF186" s="33" t="n">
        <f aca="false">185</f>
        <v>185</v>
      </c>
      <c r="BH186" s="33" t="n">
        <f aca="false">F186*AO186</f>
        <v>0</v>
      </c>
      <c r="BI186" s="33" t="n">
        <f aca="false">F186*AP186</f>
        <v>0</v>
      </c>
      <c r="BJ186" s="33" t="n">
        <f aca="false">F186*G186</f>
        <v>0</v>
      </c>
      <c r="BK186" s="33"/>
      <c r="BL186" s="33" t="n">
        <v>712</v>
      </c>
      <c r="BW186" s="33" t="n">
        <v>12</v>
      </c>
      <c r="BX186" s="9" t="s">
        <v>399</v>
      </c>
    </row>
    <row r="187" customFormat="false" ht="15" hidden="false" customHeight="false" outlineLevel="0" collapsed="false">
      <c r="A187" s="36"/>
      <c r="C187" s="37" t="s">
        <v>396</v>
      </c>
      <c r="D187" s="37"/>
      <c r="F187" s="38" t="n">
        <v>461.949</v>
      </c>
      <c r="K187" s="39"/>
    </row>
    <row r="188" customFormat="false" ht="15" hidden="false" customHeight="false" outlineLevel="0" collapsed="false">
      <c r="A188" s="36"/>
      <c r="C188" s="37" t="s">
        <v>400</v>
      </c>
      <c r="D188" s="37"/>
      <c r="F188" s="38" t="n">
        <v>69.29235</v>
      </c>
      <c r="K188" s="39"/>
    </row>
    <row r="189" customFormat="false" ht="15" hidden="false" customHeight="true" outlineLevel="0" collapsed="false">
      <c r="A189" s="32" t="s">
        <v>182</v>
      </c>
      <c r="B189" s="10" t="s">
        <v>401</v>
      </c>
      <c r="C189" s="9" t="s">
        <v>402</v>
      </c>
      <c r="D189" s="9"/>
      <c r="E189" s="10" t="s">
        <v>83</v>
      </c>
      <c r="F189" s="33" t="n">
        <v>461.949</v>
      </c>
      <c r="G189" s="33" t="n">
        <v>0</v>
      </c>
      <c r="H189" s="33" t="n">
        <f aca="false">F189*AO189</f>
        <v>0</v>
      </c>
      <c r="I189" s="33" t="n">
        <f aca="false">F189*AP189</f>
        <v>0</v>
      </c>
      <c r="J189" s="33" t="n">
        <f aca="false">F189*G189</f>
        <v>0</v>
      </c>
      <c r="K189" s="34" t="s">
        <v>84</v>
      </c>
      <c r="Z189" s="33" t="n">
        <f aca="false">IF(AQ189="5",BJ189,0)</f>
        <v>0</v>
      </c>
      <c r="AB189" s="33" t="n">
        <f aca="false">IF(AQ189="1",BH189,0)</f>
        <v>0</v>
      </c>
      <c r="AC189" s="33" t="n">
        <f aca="false">IF(AQ189="1",BI189,0)</f>
        <v>0</v>
      </c>
      <c r="AD189" s="33" t="n">
        <f aca="false">IF(AQ189="7",BH189,0)</f>
        <v>0</v>
      </c>
      <c r="AE189" s="33" t="n">
        <f aca="false">IF(AQ189="7",BI189,0)</f>
        <v>0</v>
      </c>
      <c r="AF189" s="33" t="n">
        <f aca="false">IF(AQ189="2",BH189,0)</f>
        <v>0</v>
      </c>
      <c r="AG189" s="33" t="n">
        <f aca="false">IF(AQ189="2",BI189,0)</f>
        <v>0</v>
      </c>
      <c r="AH189" s="33" t="n">
        <f aca="false">IF(AQ189="0",BJ189,0)</f>
        <v>0</v>
      </c>
      <c r="AI189" s="18"/>
      <c r="AJ189" s="33" t="n">
        <f aca="false">IF(AN189=0,J189,0)</f>
        <v>0</v>
      </c>
      <c r="AK189" s="33" t="n">
        <f aca="false">IF(AN189=12,J189,0)</f>
        <v>0</v>
      </c>
      <c r="AL189" s="33" t="n">
        <f aca="false">IF(AN189=21,J189,0)</f>
        <v>0</v>
      </c>
      <c r="AN189" s="33" t="n">
        <v>12</v>
      </c>
      <c r="AO189" s="33" t="n">
        <f aca="false">G189*0.088202765</f>
        <v>0</v>
      </c>
      <c r="AP189" s="33" t="n">
        <f aca="false">G189*(1-0.088202765)</f>
        <v>0</v>
      </c>
      <c r="AQ189" s="35" t="s">
        <v>80</v>
      </c>
      <c r="AV189" s="33" t="n">
        <f aca="false">AW189+AX189</f>
        <v>0</v>
      </c>
      <c r="AW189" s="33" t="n">
        <f aca="false">F189*AO189</f>
        <v>0</v>
      </c>
      <c r="AX189" s="33" t="n">
        <f aca="false">F189*AP189</f>
        <v>0</v>
      </c>
      <c r="AY189" s="35" t="s">
        <v>385</v>
      </c>
      <c r="AZ189" s="35" t="s">
        <v>350</v>
      </c>
      <c r="BA189" s="18" t="s">
        <v>57</v>
      </c>
      <c r="BC189" s="33" t="n">
        <f aca="false">AW189+AX189</f>
        <v>0</v>
      </c>
      <c r="BD189" s="33" t="n">
        <f aca="false">G189/(100-BE189)*100</f>
        <v>0</v>
      </c>
      <c r="BE189" s="33" t="n">
        <v>0</v>
      </c>
      <c r="BF189" s="33" t="n">
        <f aca="false">188</f>
        <v>188</v>
      </c>
      <c r="BH189" s="33" t="n">
        <f aca="false">F189*AO189</f>
        <v>0</v>
      </c>
      <c r="BI189" s="33" t="n">
        <f aca="false">F189*AP189</f>
        <v>0</v>
      </c>
      <c r="BJ189" s="33" t="n">
        <f aca="false">F189*G189</f>
        <v>0</v>
      </c>
      <c r="BK189" s="33"/>
      <c r="BL189" s="33" t="n">
        <v>712</v>
      </c>
      <c r="BW189" s="33" t="n">
        <v>12</v>
      </c>
      <c r="BX189" s="9" t="s">
        <v>402</v>
      </c>
    </row>
    <row r="190" customFormat="false" ht="15" hidden="false" customHeight="false" outlineLevel="0" collapsed="false">
      <c r="A190" s="36"/>
      <c r="C190" s="37" t="s">
        <v>396</v>
      </c>
      <c r="D190" s="37"/>
      <c r="F190" s="38" t="n">
        <v>461.949</v>
      </c>
      <c r="K190" s="39"/>
    </row>
    <row r="191" customFormat="false" ht="15" hidden="false" customHeight="true" outlineLevel="0" collapsed="false">
      <c r="A191" s="32" t="s">
        <v>321</v>
      </c>
      <c r="B191" s="10" t="s">
        <v>403</v>
      </c>
      <c r="C191" s="9" t="s">
        <v>404</v>
      </c>
      <c r="D191" s="9"/>
      <c r="E191" s="10" t="s">
        <v>83</v>
      </c>
      <c r="F191" s="33" t="n">
        <v>531.24135</v>
      </c>
      <c r="G191" s="33" t="n">
        <v>0</v>
      </c>
      <c r="H191" s="33" t="n">
        <f aca="false">F191*AO191</f>
        <v>0</v>
      </c>
      <c r="I191" s="33" t="n">
        <f aca="false">F191*AP191</f>
        <v>0</v>
      </c>
      <c r="J191" s="33" t="n">
        <f aca="false">F191*G191</f>
        <v>0</v>
      </c>
      <c r="K191" s="34" t="s">
        <v>84</v>
      </c>
      <c r="Z191" s="33" t="n">
        <f aca="false">IF(AQ191="5",BJ191,0)</f>
        <v>0</v>
      </c>
      <c r="AB191" s="33" t="n">
        <f aca="false">IF(AQ191="1",BH191,0)</f>
        <v>0</v>
      </c>
      <c r="AC191" s="33" t="n">
        <f aca="false">IF(AQ191="1",BI191,0)</f>
        <v>0</v>
      </c>
      <c r="AD191" s="33" t="n">
        <f aca="false">IF(AQ191="7",BH191,0)</f>
        <v>0</v>
      </c>
      <c r="AE191" s="33" t="n">
        <f aca="false">IF(AQ191="7",BI191,0)</f>
        <v>0</v>
      </c>
      <c r="AF191" s="33" t="n">
        <f aca="false">IF(AQ191="2",BH191,0)</f>
        <v>0</v>
      </c>
      <c r="AG191" s="33" t="n">
        <f aca="false">IF(AQ191="2",BI191,0)</f>
        <v>0</v>
      </c>
      <c r="AH191" s="33" t="n">
        <f aca="false">IF(AQ191="0",BJ191,0)</f>
        <v>0</v>
      </c>
      <c r="AI191" s="18"/>
      <c r="AJ191" s="33" t="n">
        <f aca="false">IF(AN191=0,J191,0)</f>
        <v>0</v>
      </c>
      <c r="AK191" s="33" t="n">
        <f aca="false">IF(AN191=12,J191,0)</f>
        <v>0</v>
      </c>
      <c r="AL191" s="33" t="n">
        <f aca="false">IF(AN191=21,J191,0)</f>
        <v>0</v>
      </c>
      <c r="AN191" s="33" t="n">
        <v>12</v>
      </c>
      <c r="AO191" s="33" t="n">
        <f aca="false">G191*1</f>
        <v>0</v>
      </c>
      <c r="AP191" s="33" t="n">
        <f aca="false">G191*(1-1)</f>
        <v>0</v>
      </c>
      <c r="AQ191" s="35" t="s">
        <v>80</v>
      </c>
      <c r="AV191" s="33" t="n">
        <f aca="false">AW191+AX191</f>
        <v>0</v>
      </c>
      <c r="AW191" s="33" t="n">
        <f aca="false">F191*AO191</f>
        <v>0</v>
      </c>
      <c r="AX191" s="33" t="n">
        <f aca="false">F191*AP191</f>
        <v>0</v>
      </c>
      <c r="AY191" s="35" t="s">
        <v>385</v>
      </c>
      <c r="AZ191" s="35" t="s">
        <v>350</v>
      </c>
      <c r="BA191" s="18" t="s">
        <v>57</v>
      </c>
      <c r="BC191" s="33" t="n">
        <f aca="false">AW191+AX191</f>
        <v>0</v>
      </c>
      <c r="BD191" s="33" t="n">
        <f aca="false">G191/(100-BE191)*100</f>
        <v>0</v>
      </c>
      <c r="BE191" s="33" t="n">
        <v>0</v>
      </c>
      <c r="BF191" s="33" t="n">
        <f aca="false">190</f>
        <v>190</v>
      </c>
      <c r="BH191" s="33" t="n">
        <f aca="false">F191*AO191</f>
        <v>0</v>
      </c>
      <c r="BI191" s="33" t="n">
        <f aca="false">F191*AP191</f>
        <v>0</v>
      </c>
      <c r="BJ191" s="33" t="n">
        <f aca="false">F191*G191</f>
        <v>0</v>
      </c>
      <c r="BK191" s="33"/>
      <c r="BL191" s="33" t="n">
        <v>712</v>
      </c>
      <c r="BW191" s="33" t="n">
        <v>12</v>
      </c>
      <c r="BX191" s="9" t="s">
        <v>404</v>
      </c>
    </row>
    <row r="192" customFormat="false" ht="15" hidden="false" customHeight="false" outlineLevel="0" collapsed="false">
      <c r="A192" s="36"/>
      <c r="C192" s="37" t="s">
        <v>396</v>
      </c>
      <c r="D192" s="37" t="s">
        <v>405</v>
      </c>
      <c r="F192" s="38" t="n">
        <v>461.949</v>
      </c>
      <c r="K192" s="39"/>
    </row>
    <row r="193" customFormat="false" ht="15" hidden="false" customHeight="false" outlineLevel="0" collapsed="false">
      <c r="A193" s="36"/>
      <c r="C193" s="37" t="s">
        <v>400</v>
      </c>
      <c r="D193" s="37"/>
      <c r="F193" s="38" t="n">
        <v>69.29235</v>
      </c>
      <c r="K193" s="39"/>
    </row>
    <row r="194" customFormat="false" ht="15" hidden="false" customHeight="true" outlineLevel="0" collapsed="false">
      <c r="A194" s="32" t="s">
        <v>335</v>
      </c>
      <c r="B194" s="10" t="s">
        <v>406</v>
      </c>
      <c r="C194" s="9" t="s">
        <v>407</v>
      </c>
      <c r="D194" s="9"/>
      <c r="E194" s="10" t="s">
        <v>172</v>
      </c>
      <c r="F194" s="33" t="n">
        <v>5.117</v>
      </c>
      <c r="G194" s="33" t="n">
        <v>0</v>
      </c>
      <c r="H194" s="33" t="n">
        <f aca="false">F194*AO194</f>
        <v>0</v>
      </c>
      <c r="I194" s="33" t="n">
        <f aca="false">F194*AP194</f>
        <v>0</v>
      </c>
      <c r="J194" s="33" t="n">
        <f aca="false">F194*G194</f>
        <v>0</v>
      </c>
      <c r="K194" s="34" t="s">
        <v>55</v>
      </c>
      <c r="Z194" s="33" t="n">
        <f aca="false">IF(AQ194="5",BJ194,0)</f>
        <v>0</v>
      </c>
      <c r="AB194" s="33" t="n">
        <f aca="false">IF(AQ194="1",BH194,0)</f>
        <v>0</v>
      </c>
      <c r="AC194" s="33" t="n">
        <f aca="false">IF(AQ194="1",BI194,0)</f>
        <v>0</v>
      </c>
      <c r="AD194" s="33" t="n">
        <f aca="false">IF(AQ194="7",BH194,0)</f>
        <v>0</v>
      </c>
      <c r="AE194" s="33" t="n">
        <f aca="false">IF(AQ194="7",BI194,0)</f>
        <v>0</v>
      </c>
      <c r="AF194" s="33" t="n">
        <f aca="false">IF(AQ194="2",BH194,0)</f>
        <v>0</v>
      </c>
      <c r="AG194" s="33" t="n">
        <f aca="false">IF(AQ194="2",BI194,0)</f>
        <v>0</v>
      </c>
      <c r="AH194" s="33" t="n">
        <f aca="false">IF(AQ194="0",BJ194,0)</f>
        <v>0</v>
      </c>
      <c r="AI194" s="18"/>
      <c r="AJ194" s="33" t="n">
        <f aca="false">IF(AN194=0,J194,0)</f>
        <v>0</v>
      </c>
      <c r="AK194" s="33" t="n">
        <f aca="false">IF(AN194=12,J194,0)</f>
        <v>0</v>
      </c>
      <c r="AL194" s="33" t="n">
        <f aca="false">IF(AN194=21,J194,0)</f>
        <v>0</v>
      </c>
      <c r="AN194" s="33" t="n">
        <v>12</v>
      </c>
      <c r="AO194" s="33" t="n">
        <f aca="false">G194*0</f>
        <v>0</v>
      </c>
      <c r="AP194" s="33" t="n">
        <f aca="false">G194*(1-0)</f>
        <v>0</v>
      </c>
      <c r="AQ194" s="35" t="s">
        <v>68</v>
      </c>
      <c r="AV194" s="33" t="n">
        <f aca="false">AW194+AX194</f>
        <v>0</v>
      </c>
      <c r="AW194" s="33" t="n">
        <f aca="false">F194*AO194</f>
        <v>0</v>
      </c>
      <c r="AX194" s="33" t="n">
        <f aca="false">F194*AP194</f>
        <v>0</v>
      </c>
      <c r="AY194" s="35" t="s">
        <v>385</v>
      </c>
      <c r="AZ194" s="35" t="s">
        <v>350</v>
      </c>
      <c r="BA194" s="18" t="s">
        <v>57</v>
      </c>
      <c r="BC194" s="33" t="n">
        <f aca="false">AW194+AX194</f>
        <v>0</v>
      </c>
      <c r="BD194" s="33" t="n">
        <f aca="false">G194/(100-BE194)*100</f>
        <v>0</v>
      </c>
      <c r="BE194" s="33" t="n">
        <v>0</v>
      </c>
      <c r="BF194" s="33" t="n">
        <f aca="false">193</f>
        <v>193</v>
      </c>
      <c r="BH194" s="33" t="n">
        <f aca="false">F194*AO194</f>
        <v>0</v>
      </c>
      <c r="BI194" s="33" t="n">
        <f aca="false">F194*AP194</f>
        <v>0</v>
      </c>
      <c r="BJ194" s="33" t="n">
        <f aca="false">F194*G194</f>
        <v>0</v>
      </c>
      <c r="BK194" s="33"/>
      <c r="BL194" s="33" t="n">
        <v>712</v>
      </c>
      <c r="BW194" s="33" t="n">
        <v>12</v>
      </c>
      <c r="BX194" s="9" t="s">
        <v>407</v>
      </c>
    </row>
    <row r="195" customFormat="false" ht="15" hidden="false" customHeight="false" outlineLevel="0" collapsed="false">
      <c r="A195" s="36"/>
      <c r="C195" s="37" t="s">
        <v>408</v>
      </c>
      <c r="D195" s="37"/>
      <c r="F195" s="38" t="n">
        <v>5.117</v>
      </c>
      <c r="K195" s="39"/>
    </row>
    <row r="196" customFormat="false" ht="15" hidden="false" customHeight="true" outlineLevel="0" collapsed="false">
      <c r="A196" s="32" t="s">
        <v>409</v>
      </c>
      <c r="B196" s="10" t="s">
        <v>410</v>
      </c>
      <c r="C196" s="9" t="s">
        <v>411</v>
      </c>
      <c r="D196" s="9"/>
      <c r="E196" s="10" t="s">
        <v>83</v>
      </c>
      <c r="F196" s="33" t="n">
        <v>461.949</v>
      </c>
      <c r="G196" s="33" t="n">
        <v>0</v>
      </c>
      <c r="H196" s="33" t="n">
        <f aca="false">F196*AO196</f>
        <v>0</v>
      </c>
      <c r="I196" s="33" t="n">
        <f aca="false">F196*AP196</f>
        <v>0</v>
      </c>
      <c r="J196" s="33" t="n">
        <f aca="false">F196*G196</f>
        <v>0</v>
      </c>
      <c r="K196" s="34" t="s">
        <v>303</v>
      </c>
      <c r="Z196" s="33" t="n">
        <f aca="false">IF(AQ196="5",BJ196,0)</f>
        <v>0</v>
      </c>
      <c r="AB196" s="33" t="n">
        <f aca="false">IF(AQ196="1",BH196,0)</f>
        <v>0</v>
      </c>
      <c r="AC196" s="33" t="n">
        <f aca="false">IF(AQ196="1",BI196,0)</f>
        <v>0</v>
      </c>
      <c r="AD196" s="33" t="n">
        <f aca="false">IF(AQ196="7",BH196,0)</f>
        <v>0</v>
      </c>
      <c r="AE196" s="33" t="n">
        <f aca="false">IF(AQ196="7",BI196,0)</f>
        <v>0</v>
      </c>
      <c r="AF196" s="33" t="n">
        <f aca="false">IF(AQ196="2",BH196,0)</f>
        <v>0</v>
      </c>
      <c r="AG196" s="33" t="n">
        <f aca="false">IF(AQ196="2",BI196,0)</f>
        <v>0</v>
      </c>
      <c r="AH196" s="33" t="n">
        <f aca="false">IF(AQ196="0",BJ196,0)</f>
        <v>0</v>
      </c>
      <c r="AI196" s="18"/>
      <c r="AJ196" s="33" t="n">
        <f aca="false">IF(AN196=0,J196,0)</f>
        <v>0</v>
      </c>
      <c r="AK196" s="33" t="n">
        <f aca="false">IF(AN196=12,J196,0)</f>
        <v>0</v>
      </c>
      <c r="AL196" s="33" t="n">
        <f aca="false">IF(AN196=21,J196,0)</f>
        <v>0</v>
      </c>
      <c r="AN196" s="33" t="n">
        <v>12</v>
      </c>
      <c r="AO196" s="33" t="n">
        <f aca="false">G196*0</f>
        <v>0</v>
      </c>
      <c r="AP196" s="33" t="n">
        <f aca="false">G196*(1-0)</f>
        <v>0</v>
      </c>
      <c r="AQ196" s="35" t="s">
        <v>80</v>
      </c>
      <c r="AV196" s="33" t="n">
        <f aca="false">AW196+AX196</f>
        <v>0</v>
      </c>
      <c r="AW196" s="33" t="n">
        <f aca="false">F196*AO196</f>
        <v>0</v>
      </c>
      <c r="AX196" s="33" t="n">
        <f aca="false">F196*AP196</f>
        <v>0</v>
      </c>
      <c r="AY196" s="35" t="s">
        <v>385</v>
      </c>
      <c r="AZ196" s="35" t="s">
        <v>350</v>
      </c>
      <c r="BA196" s="18" t="s">
        <v>57</v>
      </c>
      <c r="BC196" s="33" t="n">
        <f aca="false">AW196+AX196</f>
        <v>0</v>
      </c>
      <c r="BD196" s="33" t="n">
        <f aca="false">G196/(100-BE196)*100</f>
        <v>0</v>
      </c>
      <c r="BE196" s="33" t="n">
        <v>0</v>
      </c>
      <c r="BF196" s="33" t="n">
        <f aca="false">195</f>
        <v>195</v>
      </c>
      <c r="BH196" s="33" t="n">
        <f aca="false">F196*AO196</f>
        <v>0</v>
      </c>
      <c r="BI196" s="33" t="n">
        <f aca="false">F196*AP196</f>
        <v>0</v>
      </c>
      <c r="BJ196" s="33" t="n">
        <f aca="false">F196*G196</f>
        <v>0</v>
      </c>
      <c r="BK196" s="33"/>
      <c r="BL196" s="33" t="n">
        <v>712</v>
      </c>
      <c r="BW196" s="33" t="n">
        <v>12</v>
      </c>
      <c r="BX196" s="9" t="s">
        <v>411</v>
      </c>
    </row>
    <row r="197" customFormat="false" ht="15" hidden="false" customHeight="false" outlineLevel="0" collapsed="false">
      <c r="A197" s="36"/>
      <c r="C197" s="37" t="s">
        <v>396</v>
      </c>
      <c r="D197" s="37"/>
      <c r="F197" s="38" t="n">
        <v>461.949</v>
      </c>
      <c r="K197" s="39"/>
    </row>
    <row r="198" customFormat="false" ht="15" hidden="false" customHeight="true" outlineLevel="0" collapsed="false">
      <c r="A198" s="32" t="s">
        <v>412</v>
      </c>
      <c r="B198" s="10" t="s">
        <v>413</v>
      </c>
      <c r="C198" s="9" t="s">
        <v>414</v>
      </c>
      <c r="D198" s="9"/>
      <c r="E198" s="10" t="s">
        <v>83</v>
      </c>
      <c r="F198" s="33" t="n">
        <v>10</v>
      </c>
      <c r="G198" s="33" t="n">
        <v>0</v>
      </c>
      <c r="H198" s="33" t="n">
        <f aca="false">F198*AO198</f>
        <v>0</v>
      </c>
      <c r="I198" s="33" t="n">
        <f aca="false">F198*AP198</f>
        <v>0</v>
      </c>
      <c r="J198" s="33" t="n">
        <f aca="false">F198*G198</f>
        <v>0</v>
      </c>
      <c r="K198" s="34" t="s">
        <v>303</v>
      </c>
      <c r="Z198" s="33" t="n">
        <f aca="false">IF(AQ198="5",BJ198,0)</f>
        <v>0</v>
      </c>
      <c r="AB198" s="33" t="n">
        <f aca="false">IF(AQ198="1",BH198,0)</f>
        <v>0</v>
      </c>
      <c r="AC198" s="33" t="n">
        <f aca="false">IF(AQ198="1",BI198,0)</f>
        <v>0</v>
      </c>
      <c r="AD198" s="33" t="n">
        <f aca="false">IF(AQ198="7",BH198,0)</f>
        <v>0</v>
      </c>
      <c r="AE198" s="33" t="n">
        <f aca="false">IF(AQ198="7",BI198,0)</f>
        <v>0</v>
      </c>
      <c r="AF198" s="33" t="n">
        <f aca="false">IF(AQ198="2",BH198,0)</f>
        <v>0</v>
      </c>
      <c r="AG198" s="33" t="n">
        <f aca="false">IF(AQ198="2",BI198,0)</f>
        <v>0</v>
      </c>
      <c r="AH198" s="33" t="n">
        <f aca="false">IF(AQ198="0",BJ198,0)</f>
        <v>0</v>
      </c>
      <c r="AI198" s="18"/>
      <c r="AJ198" s="33" t="n">
        <f aca="false">IF(AN198=0,J198,0)</f>
        <v>0</v>
      </c>
      <c r="AK198" s="33" t="n">
        <f aca="false">IF(AN198=12,J198,0)</f>
        <v>0</v>
      </c>
      <c r="AL198" s="33" t="n">
        <f aca="false">IF(AN198=21,J198,0)</f>
        <v>0</v>
      </c>
      <c r="AN198" s="33" t="n">
        <v>12</v>
      </c>
      <c r="AO198" s="33" t="n">
        <f aca="false">G198*0.429014085</f>
        <v>0</v>
      </c>
      <c r="AP198" s="33" t="n">
        <f aca="false">G198*(1-0.429014085)</f>
        <v>0</v>
      </c>
      <c r="AQ198" s="35" t="s">
        <v>80</v>
      </c>
      <c r="AV198" s="33" t="n">
        <f aca="false">AW198+AX198</f>
        <v>0</v>
      </c>
      <c r="AW198" s="33" t="n">
        <f aca="false">F198*AO198</f>
        <v>0</v>
      </c>
      <c r="AX198" s="33" t="n">
        <f aca="false">F198*AP198</f>
        <v>0</v>
      </c>
      <c r="AY198" s="35" t="s">
        <v>385</v>
      </c>
      <c r="AZ198" s="35" t="s">
        <v>350</v>
      </c>
      <c r="BA198" s="18" t="s">
        <v>57</v>
      </c>
      <c r="BC198" s="33" t="n">
        <f aca="false">AW198+AX198</f>
        <v>0</v>
      </c>
      <c r="BD198" s="33" t="n">
        <f aca="false">G198/(100-BE198)*100</f>
        <v>0</v>
      </c>
      <c r="BE198" s="33" t="n">
        <v>0</v>
      </c>
      <c r="BF198" s="33" t="n">
        <f aca="false">197</f>
        <v>197</v>
      </c>
      <c r="BH198" s="33" t="n">
        <f aca="false">F198*AO198</f>
        <v>0</v>
      </c>
      <c r="BI198" s="33" t="n">
        <f aca="false">F198*AP198</f>
        <v>0</v>
      </c>
      <c r="BJ198" s="33" t="n">
        <f aca="false">F198*G198</f>
        <v>0</v>
      </c>
      <c r="BK198" s="33"/>
      <c r="BL198" s="33" t="n">
        <v>712</v>
      </c>
      <c r="BW198" s="33" t="n">
        <v>12</v>
      </c>
      <c r="BX198" s="9" t="s">
        <v>414</v>
      </c>
    </row>
    <row r="199" customFormat="false" ht="23.85" hidden="false" customHeight="false" outlineLevel="0" collapsed="false">
      <c r="A199" s="36"/>
      <c r="C199" s="37" t="s">
        <v>104</v>
      </c>
      <c r="D199" s="40" t="s">
        <v>415</v>
      </c>
      <c r="F199" s="38" t="n">
        <v>10</v>
      </c>
      <c r="K199" s="39"/>
    </row>
    <row r="200" customFormat="false" ht="15" hidden="false" customHeight="true" outlineLevel="0" collapsed="false">
      <c r="A200" s="32" t="s">
        <v>416</v>
      </c>
      <c r="B200" s="10" t="s">
        <v>417</v>
      </c>
      <c r="C200" s="9" t="s">
        <v>418</v>
      </c>
      <c r="D200" s="9"/>
      <c r="E200" s="10" t="s">
        <v>91</v>
      </c>
      <c r="F200" s="33" t="n">
        <v>211.75</v>
      </c>
      <c r="G200" s="33" t="n">
        <v>0</v>
      </c>
      <c r="H200" s="33" t="n">
        <f aca="false">F200*AO200</f>
        <v>0</v>
      </c>
      <c r="I200" s="33" t="n">
        <f aca="false">F200*AP200</f>
        <v>0</v>
      </c>
      <c r="J200" s="33" t="n">
        <f aca="false">F200*G200</f>
        <v>0</v>
      </c>
      <c r="K200" s="34" t="s">
        <v>303</v>
      </c>
      <c r="Z200" s="33" t="n">
        <f aca="false">IF(AQ200="5",BJ200,0)</f>
        <v>0</v>
      </c>
      <c r="AB200" s="33" t="n">
        <f aca="false">IF(AQ200="1",BH200,0)</f>
        <v>0</v>
      </c>
      <c r="AC200" s="33" t="n">
        <f aca="false">IF(AQ200="1",BI200,0)</f>
        <v>0</v>
      </c>
      <c r="AD200" s="33" t="n">
        <f aca="false">IF(AQ200="7",BH200,0)</f>
        <v>0</v>
      </c>
      <c r="AE200" s="33" t="n">
        <f aca="false">IF(AQ200="7",BI200,0)</f>
        <v>0</v>
      </c>
      <c r="AF200" s="33" t="n">
        <f aca="false">IF(AQ200="2",BH200,0)</f>
        <v>0</v>
      </c>
      <c r="AG200" s="33" t="n">
        <f aca="false">IF(AQ200="2",BI200,0)</f>
        <v>0</v>
      </c>
      <c r="AH200" s="33" t="n">
        <f aca="false">IF(AQ200="0",BJ200,0)</f>
        <v>0</v>
      </c>
      <c r="AI200" s="18"/>
      <c r="AJ200" s="33" t="n">
        <f aca="false">IF(AN200=0,J200,0)</f>
        <v>0</v>
      </c>
      <c r="AK200" s="33" t="n">
        <f aca="false">IF(AN200=12,J200,0)</f>
        <v>0</v>
      </c>
      <c r="AL200" s="33" t="n">
        <f aca="false">IF(AN200=21,J200,0)</f>
        <v>0</v>
      </c>
      <c r="AN200" s="33" t="n">
        <v>12</v>
      </c>
      <c r="AO200" s="33" t="n">
        <f aca="false">G200*0.212382645</f>
        <v>0</v>
      </c>
      <c r="AP200" s="33" t="n">
        <f aca="false">G200*(1-0.212382645)</f>
        <v>0</v>
      </c>
      <c r="AQ200" s="35" t="s">
        <v>80</v>
      </c>
      <c r="AV200" s="33" t="n">
        <f aca="false">AW200+AX200</f>
        <v>0</v>
      </c>
      <c r="AW200" s="33" t="n">
        <f aca="false">F200*AO200</f>
        <v>0</v>
      </c>
      <c r="AX200" s="33" t="n">
        <f aca="false">F200*AP200</f>
        <v>0</v>
      </c>
      <c r="AY200" s="35" t="s">
        <v>385</v>
      </c>
      <c r="AZ200" s="35" t="s">
        <v>350</v>
      </c>
      <c r="BA200" s="18" t="s">
        <v>57</v>
      </c>
      <c r="BC200" s="33" t="n">
        <f aca="false">AW200+AX200</f>
        <v>0</v>
      </c>
      <c r="BD200" s="33" t="n">
        <f aca="false">G200/(100-BE200)*100</f>
        <v>0</v>
      </c>
      <c r="BE200" s="33" t="n">
        <v>0</v>
      </c>
      <c r="BF200" s="33" t="n">
        <f aca="false">199</f>
        <v>199</v>
      </c>
      <c r="BH200" s="33" t="n">
        <f aca="false">F200*AO200</f>
        <v>0</v>
      </c>
      <c r="BI200" s="33" t="n">
        <f aca="false">F200*AP200</f>
        <v>0</v>
      </c>
      <c r="BJ200" s="33" t="n">
        <f aca="false">F200*G200</f>
        <v>0</v>
      </c>
      <c r="BK200" s="33"/>
      <c r="BL200" s="33" t="n">
        <v>712</v>
      </c>
      <c r="BW200" s="33" t="n">
        <v>12</v>
      </c>
      <c r="BX200" s="9" t="s">
        <v>419</v>
      </c>
    </row>
    <row r="201" customFormat="false" ht="15" hidden="false" customHeight="false" outlineLevel="0" collapsed="false">
      <c r="A201" s="36"/>
      <c r="C201" s="37" t="s">
        <v>420</v>
      </c>
      <c r="D201" s="37" t="s">
        <v>421</v>
      </c>
      <c r="F201" s="38" t="n">
        <v>85.2</v>
      </c>
      <c r="K201" s="39"/>
    </row>
    <row r="202" customFormat="false" ht="15" hidden="false" customHeight="false" outlineLevel="0" collapsed="false">
      <c r="A202" s="36"/>
      <c r="C202" s="37" t="s">
        <v>422</v>
      </c>
      <c r="D202" s="37" t="s">
        <v>423</v>
      </c>
      <c r="F202" s="38" t="n">
        <v>16.15</v>
      </c>
      <c r="K202" s="39"/>
    </row>
    <row r="203" customFormat="false" ht="15" hidden="false" customHeight="false" outlineLevel="0" collapsed="false">
      <c r="A203" s="36"/>
      <c r="C203" s="37" t="s">
        <v>424</v>
      </c>
      <c r="D203" s="37" t="s">
        <v>425</v>
      </c>
      <c r="F203" s="38" t="n">
        <v>52.8</v>
      </c>
      <c r="K203" s="39"/>
    </row>
    <row r="204" customFormat="false" ht="15" hidden="false" customHeight="false" outlineLevel="0" collapsed="false">
      <c r="A204" s="36"/>
      <c r="C204" s="37" t="s">
        <v>426</v>
      </c>
      <c r="D204" s="37" t="s">
        <v>427</v>
      </c>
      <c r="F204" s="38" t="n">
        <v>57.6</v>
      </c>
      <c r="K204" s="39"/>
    </row>
    <row r="205" customFormat="false" ht="15" hidden="false" customHeight="true" outlineLevel="0" collapsed="false">
      <c r="A205" s="27"/>
      <c r="B205" s="28" t="s">
        <v>428</v>
      </c>
      <c r="C205" s="29" t="s">
        <v>429</v>
      </c>
      <c r="D205" s="29"/>
      <c r="E205" s="30" t="s">
        <v>4</v>
      </c>
      <c r="F205" s="30" t="s">
        <v>4</v>
      </c>
      <c r="G205" s="30" t="s">
        <v>4</v>
      </c>
      <c r="H205" s="2" t="n">
        <f aca="false">SUM(H206:H221)</f>
        <v>0</v>
      </c>
      <c r="I205" s="2" t="n">
        <f aca="false">SUM(I206:I221)</f>
        <v>0</v>
      </c>
      <c r="J205" s="2" t="n">
        <f aca="false">SUM(J206:J221)</f>
        <v>0</v>
      </c>
      <c r="K205" s="31"/>
      <c r="AI205" s="18"/>
      <c r="AS205" s="2" t="n">
        <f aca="false">SUM(AJ206:AJ221)</f>
        <v>0</v>
      </c>
      <c r="AT205" s="2" t="n">
        <f aca="false">SUM(AK206:AK221)</f>
        <v>0</v>
      </c>
      <c r="AU205" s="2" t="n">
        <f aca="false">SUM(AL206:AL221)</f>
        <v>0</v>
      </c>
    </row>
    <row r="206" customFormat="false" ht="15" hidden="false" customHeight="true" outlineLevel="0" collapsed="false">
      <c r="A206" s="32" t="s">
        <v>430</v>
      </c>
      <c r="B206" s="10" t="s">
        <v>431</v>
      </c>
      <c r="C206" s="9" t="s">
        <v>432</v>
      </c>
      <c r="D206" s="9"/>
      <c r="E206" s="10" t="s">
        <v>83</v>
      </c>
      <c r="F206" s="33" t="n">
        <v>404.229</v>
      </c>
      <c r="G206" s="33" t="n">
        <v>0</v>
      </c>
      <c r="H206" s="33" t="n">
        <f aca="false">F206*AO206</f>
        <v>0</v>
      </c>
      <c r="I206" s="33" t="n">
        <f aca="false">F206*AP206</f>
        <v>0</v>
      </c>
      <c r="J206" s="33" t="n">
        <f aca="false">F206*G206</f>
        <v>0</v>
      </c>
      <c r="K206" s="34" t="s">
        <v>84</v>
      </c>
      <c r="Z206" s="33" t="n">
        <f aca="false">IF(AQ206="5",BJ206,0)</f>
        <v>0</v>
      </c>
      <c r="AB206" s="33" t="n">
        <f aca="false">IF(AQ206="1",BH206,0)</f>
        <v>0</v>
      </c>
      <c r="AC206" s="33" t="n">
        <f aca="false">IF(AQ206="1",BI206,0)</f>
        <v>0</v>
      </c>
      <c r="AD206" s="33" t="n">
        <f aca="false">IF(AQ206="7",BH206,0)</f>
        <v>0</v>
      </c>
      <c r="AE206" s="33" t="n">
        <f aca="false">IF(AQ206="7",BI206,0)</f>
        <v>0</v>
      </c>
      <c r="AF206" s="33" t="n">
        <f aca="false">IF(AQ206="2",BH206,0)</f>
        <v>0</v>
      </c>
      <c r="AG206" s="33" t="n">
        <f aca="false">IF(AQ206="2",BI206,0)</f>
        <v>0</v>
      </c>
      <c r="AH206" s="33" t="n">
        <f aca="false">IF(AQ206="0",BJ206,0)</f>
        <v>0</v>
      </c>
      <c r="AI206" s="18"/>
      <c r="AJ206" s="33" t="n">
        <f aca="false">IF(AN206=0,J206,0)</f>
        <v>0</v>
      </c>
      <c r="AK206" s="33" t="n">
        <f aca="false">IF(AN206=12,J206,0)</f>
        <v>0</v>
      </c>
      <c r="AL206" s="33" t="n">
        <f aca="false">IF(AN206=21,J206,0)</f>
        <v>0</v>
      </c>
      <c r="AN206" s="33" t="n">
        <v>12</v>
      </c>
      <c r="AO206" s="33" t="n">
        <f aca="false">G206*0.299766993</f>
        <v>0</v>
      </c>
      <c r="AP206" s="33" t="n">
        <f aca="false">G206*(1-0.299766993)</f>
        <v>0</v>
      </c>
      <c r="AQ206" s="35" t="s">
        <v>80</v>
      </c>
      <c r="AV206" s="33" t="n">
        <f aca="false">AW206+AX206</f>
        <v>0</v>
      </c>
      <c r="AW206" s="33" t="n">
        <f aca="false">F206*AO206</f>
        <v>0</v>
      </c>
      <c r="AX206" s="33" t="n">
        <f aca="false">F206*AP206</f>
        <v>0</v>
      </c>
      <c r="AY206" s="35" t="s">
        <v>433</v>
      </c>
      <c r="AZ206" s="35" t="s">
        <v>350</v>
      </c>
      <c r="BA206" s="18" t="s">
        <v>57</v>
      </c>
      <c r="BC206" s="33" t="n">
        <f aca="false">AW206+AX206</f>
        <v>0</v>
      </c>
      <c r="BD206" s="33" t="n">
        <f aca="false">G206/(100-BE206)*100</f>
        <v>0</v>
      </c>
      <c r="BE206" s="33" t="n">
        <v>0</v>
      </c>
      <c r="BF206" s="33" t="n">
        <f aca="false">205</f>
        <v>205</v>
      </c>
      <c r="BH206" s="33" t="n">
        <f aca="false">F206*AO206</f>
        <v>0</v>
      </c>
      <c r="BI206" s="33" t="n">
        <f aca="false">F206*AP206</f>
        <v>0</v>
      </c>
      <c r="BJ206" s="33" t="n">
        <f aca="false">F206*G206</f>
        <v>0</v>
      </c>
      <c r="BK206" s="33"/>
      <c r="BL206" s="33" t="n">
        <v>713</v>
      </c>
      <c r="BW206" s="33" t="n">
        <v>12</v>
      </c>
      <c r="BX206" s="9" t="s">
        <v>432</v>
      </c>
    </row>
    <row r="207" customFormat="false" ht="15" hidden="false" customHeight="false" outlineLevel="0" collapsed="false">
      <c r="A207" s="36"/>
      <c r="C207" s="37" t="s">
        <v>434</v>
      </c>
      <c r="D207" s="37"/>
      <c r="F207" s="38" t="n">
        <v>404.229</v>
      </c>
      <c r="K207" s="39"/>
    </row>
    <row r="208" customFormat="false" ht="15" hidden="false" customHeight="true" outlineLevel="0" collapsed="false">
      <c r="A208" s="32" t="s">
        <v>435</v>
      </c>
      <c r="B208" s="10" t="s">
        <v>436</v>
      </c>
      <c r="C208" s="9" t="s">
        <v>437</v>
      </c>
      <c r="D208" s="9"/>
      <c r="E208" s="10" t="s">
        <v>98</v>
      </c>
      <c r="F208" s="33" t="n">
        <v>87.31346</v>
      </c>
      <c r="G208" s="33" t="n">
        <v>0</v>
      </c>
      <c r="H208" s="33" t="n">
        <f aca="false">F208*AO208</f>
        <v>0</v>
      </c>
      <c r="I208" s="33" t="n">
        <f aca="false">F208*AP208</f>
        <v>0</v>
      </c>
      <c r="J208" s="33" t="n">
        <f aca="false">F208*G208</f>
        <v>0</v>
      </c>
      <c r="K208" s="34" t="s">
        <v>84</v>
      </c>
      <c r="Z208" s="33" t="n">
        <f aca="false">IF(AQ208="5",BJ208,0)</f>
        <v>0</v>
      </c>
      <c r="AB208" s="33" t="n">
        <f aca="false">IF(AQ208="1",BH208,0)</f>
        <v>0</v>
      </c>
      <c r="AC208" s="33" t="n">
        <f aca="false">IF(AQ208="1",BI208,0)</f>
        <v>0</v>
      </c>
      <c r="AD208" s="33" t="n">
        <f aca="false">IF(AQ208="7",BH208,0)</f>
        <v>0</v>
      </c>
      <c r="AE208" s="33" t="n">
        <f aca="false">IF(AQ208="7",BI208,0)</f>
        <v>0</v>
      </c>
      <c r="AF208" s="33" t="n">
        <f aca="false">IF(AQ208="2",BH208,0)</f>
        <v>0</v>
      </c>
      <c r="AG208" s="33" t="n">
        <f aca="false">IF(AQ208="2",BI208,0)</f>
        <v>0</v>
      </c>
      <c r="AH208" s="33" t="n">
        <f aca="false">IF(AQ208="0",BJ208,0)</f>
        <v>0</v>
      </c>
      <c r="AI208" s="18"/>
      <c r="AJ208" s="33" t="n">
        <f aca="false">IF(AN208=0,J208,0)</f>
        <v>0</v>
      </c>
      <c r="AK208" s="33" t="n">
        <f aca="false">IF(AN208=12,J208,0)</f>
        <v>0</v>
      </c>
      <c r="AL208" s="33" t="n">
        <f aca="false">IF(AN208=21,J208,0)</f>
        <v>0</v>
      </c>
      <c r="AN208" s="33" t="n">
        <v>12</v>
      </c>
      <c r="AO208" s="33" t="n">
        <f aca="false">G208*1</f>
        <v>0</v>
      </c>
      <c r="AP208" s="33" t="n">
        <f aca="false">G208*(1-1)</f>
        <v>0</v>
      </c>
      <c r="AQ208" s="35" t="s">
        <v>80</v>
      </c>
      <c r="AV208" s="33" t="n">
        <f aca="false">AW208+AX208</f>
        <v>0</v>
      </c>
      <c r="AW208" s="33" t="n">
        <f aca="false">F208*AO208</f>
        <v>0</v>
      </c>
      <c r="AX208" s="33" t="n">
        <f aca="false">F208*AP208</f>
        <v>0</v>
      </c>
      <c r="AY208" s="35" t="s">
        <v>433</v>
      </c>
      <c r="AZ208" s="35" t="s">
        <v>350</v>
      </c>
      <c r="BA208" s="18" t="s">
        <v>57</v>
      </c>
      <c r="BC208" s="33" t="n">
        <f aca="false">AW208+AX208</f>
        <v>0</v>
      </c>
      <c r="BD208" s="33" t="n">
        <f aca="false">G208/(100-BE208)*100</f>
        <v>0</v>
      </c>
      <c r="BE208" s="33" t="n">
        <v>0</v>
      </c>
      <c r="BF208" s="33" t="n">
        <f aca="false">207</f>
        <v>207</v>
      </c>
      <c r="BH208" s="33" t="n">
        <f aca="false">F208*AO208</f>
        <v>0</v>
      </c>
      <c r="BI208" s="33" t="n">
        <f aca="false">F208*AP208</f>
        <v>0</v>
      </c>
      <c r="BJ208" s="33" t="n">
        <f aca="false">F208*G208</f>
        <v>0</v>
      </c>
      <c r="BK208" s="33"/>
      <c r="BL208" s="33" t="n">
        <v>713</v>
      </c>
      <c r="BW208" s="33" t="n">
        <v>12</v>
      </c>
      <c r="BX208" s="9" t="s">
        <v>437</v>
      </c>
    </row>
    <row r="209" customFormat="false" ht="15" hidden="false" customHeight="false" outlineLevel="0" collapsed="false">
      <c r="A209" s="36"/>
      <c r="C209" s="37" t="s">
        <v>438</v>
      </c>
      <c r="D209" s="37" t="s">
        <v>439</v>
      </c>
      <c r="F209" s="38" t="n">
        <v>80.8458</v>
      </c>
      <c r="K209" s="39"/>
    </row>
    <row r="210" customFormat="false" ht="15" hidden="false" customHeight="false" outlineLevel="0" collapsed="false">
      <c r="A210" s="36"/>
      <c r="C210" s="37" t="s">
        <v>440</v>
      </c>
      <c r="D210" s="37"/>
      <c r="F210" s="38" t="n">
        <v>6.46766</v>
      </c>
      <c r="K210" s="39"/>
    </row>
    <row r="211" customFormat="false" ht="15" hidden="false" customHeight="true" outlineLevel="0" collapsed="false">
      <c r="A211" s="32" t="s">
        <v>441</v>
      </c>
      <c r="B211" s="10" t="s">
        <v>442</v>
      </c>
      <c r="C211" s="9" t="s">
        <v>443</v>
      </c>
      <c r="D211" s="9"/>
      <c r="E211" s="10" t="s">
        <v>83</v>
      </c>
      <c r="F211" s="33" t="n">
        <v>52.44</v>
      </c>
      <c r="G211" s="33" t="n">
        <v>0</v>
      </c>
      <c r="H211" s="33" t="n">
        <f aca="false">F211*AO211</f>
        <v>0</v>
      </c>
      <c r="I211" s="33" t="n">
        <f aca="false">F211*AP211</f>
        <v>0</v>
      </c>
      <c r="J211" s="33" t="n">
        <f aca="false">F211*G211</f>
        <v>0</v>
      </c>
      <c r="K211" s="34" t="s">
        <v>84</v>
      </c>
      <c r="Z211" s="33" t="n">
        <f aca="false">IF(AQ211="5",BJ211,0)</f>
        <v>0</v>
      </c>
      <c r="AB211" s="33" t="n">
        <f aca="false">IF(AQ211="1",BH211,0)</f>
        <v>0</v>
      </c>
      <c r="AC211" s="33" t="n">
        <f aca="false">IF(AQ211="1",BI211,0)</f>
        <v>0</v>
      </c>
      <c r="AD211" s="33" t="n">
        <f aca="false">IF(AQ211="7",BH211,0)</f>
        <v>0</v>
      </c>
      <c r="AE211" s="33" t="n">
        <f aca="false">IF(AQ211="7",BI211,0)</f>
        <v>0</v>
      </c>
      <c r="AF211" s="33" t="n">
        <f aca="false">IF(AQ211="2",BH211,0)</f>
        <v>0</v>
      </c>
      <c r="AG211" s="33" t="n">
        <f aca="false">IF(AQ211="2",BI211,0)</f>
        <v>0</v>
      </c>
      <c r="AH211" s="33" t="n">
        <f aca="false">IF(AQ211="0",BJ211,0)</f>
        <v>0</v>
      </c>
      <c r="AI211" s="18"/>
      <c r="AJ211" s="33" t="n">
        <f aca="false">IF(AN211=0,J211,0)</f>
        <v>0</v>
      </c>
      <c r="AK211" s="33" t="n">
        <f aca="false">IF(AN211=12,J211,0)</f>
        <v>0</v>
      </c>
      <c r="AL211" s="33" t="n">
        <f aca="false">IF(AN211=21,J211,0)</f>
        <v>0</v>
      </c>
      <c r="AN211" s="33" t="n">
        <v>12</v>
      </c>
      <c r="AO211" s="33" t="n">
        <f aca="false">G211*0</f>
        <v>0</v>
      </c>
      <c r="AP211" s="33" t="n">
        <f aca="false">G211*(1-0)</f>
        <v>0</v>
      </c>
      <c r="AQ211" s="35" t="s">
        <v>80</v>
      </c>
      <c r="AV211" s="33" t="n">
        <f aca="false">AW211+AX211</f>
        <v>0</v>
      </c>
      <c r="AW211" s="33" t="n">
        <f aca="false">F211*AO211</f>
        <v>0</v>
      </c>
      <c r="AX211" s="33" t="n">
        <f aca="false">F211*AP211</f>
        <v>0</v>
      </c>
      <c r="AY211" s="35" t="s">
        <v>433</v>
      </c>
      <c r="AZ211" s="35" t="s">
        <v>350</v>
      </c>
      <c r="BA211" s="18" t="s">
        <v>57</v>
      </c>
      <c r="BC211" s="33" t="n">
        <f aca="false">AW211+AX211</f>
        <v>0</v>
      </c>
      <c r="BD211" s="33" t="n">
        <f aca="false">G211/(100-BE211)*100</f>
        <v>0</v>
      </c>
      <c r="BE211" s="33" t="n">
        <v>0</v>
      </c>
      <c r="BF211" s="33" t="n">
        <f aca="false">210</f>
        <v>210</v>
      </c>
      <c r="BH211" s="33" t="n">
        <f aca="false">F211*AO211</f>
        <v>0</v>
      </c>
      <c r="BI211" s="33" t="n">
        <f aca="false">F211*AP211</f>
        <v>0</v>
      </c>
      <c r="BJ211" s="33" t="n">
        <f aca="false">F211*G211</f>
        <v>0</v>
      </c>
      <c r="BK211" s="33"/>
      <c r="BL211" s="33" t="n">
        <v>713</v>
      </c>
      <c r="BW211" s="33" t="n">
        <v>12</v>
      </c>
      <c r="BX211" s="9" t="s">
        <v>443</v>
      </c>
    </row>
    <row r="212" customFormat="false" ht="15" hidden="false" customHeight="false" outlineLevel="0" collapsed="false">
      <c r="A212" s="36"/>
      <c r="C212" s="37" t="s">
        <v>444</v>
      </c>
      <c r="D212" s="37"/>
      <c r="F212" s="38" t="n">
        <v>52.44</v>
      </c>
      <c r="K212" s="39"/>
    </row>
    <row r="213" customFormat="false" ht="15" hidden="false" customHeight="true" outlineLevel="0" collapsed="false">
      <c r="A213" s="32" t="s">
        <v>445</v>
      </c>
      <c r="B213" s="10" t="s">
        <v>446</v>
      </c>
      <c r="C213" s="9" t="s">
        <v>447</v>
      </c>
      <c r="D213" s="9"/>
      <c r="E213" s="10" t="s">
        <v>98</v>
      </c>
      <c r="F213" s="33" t="n">
        <v>6.67037</v>
      </c>
      <c r="G213" s="33" t="n">
        <v>0</v>
      </c>
      <c r="H213" s="33" t="n">
        <f aca="false">F213*AO213</f>
        <v>0</v>
      </c>
      <c r="I213" s="33" t="n">
        <f aca="false">F213*AP213</f>
        <v>0</v>
      </c>
      <c r="J213" s="33" t="n">
        <f aca="false">F213*G213</f>
        <v>0</v>
      </c>
      <c r="K213" s="34" t="s">
        <v>84</v>
      </c>
      <c r="Z213" s="33" t="n">
        <f aca="false">IF(AQ213="5",BJ213,0)</f>
        <v>0</v>
      </c>
      <c r="AB213" s="33" t="n">
        <f aca="false">IF(AQ213="1",BH213,0)</f>
        <v>0</v>
      </c>
      <c r="AC213" s="33" t="n">
        <f aca="false">IF(AQ213="1",BI213,0)</f>
        <v>0</v>
      </c>
      <c r="AD213" s="33" t="n">
        <f aca="false">IF(AQ213="7",BH213,0)</f>
        <v>0</v>
      </c>
      <c r="AE213" s="33" t="n">
        <f aca="false">IF(AQ213="7",BI213,0)</f>
        <v>0</v>
      </c>
      <c r="AF213" s="33" t="n">
        <f aca="false">IF(AQ213="2",BH213,0)</f>
        <v>0</v>
      </c>
      <c r="AG213" s="33" t="n">
        <f aca="false">IF(AQ213="2",BI213,0)</f>
        <v>0</v>
      </c>
      <c r="AH213" s="33" t="n">
        <f aca="false">IF(AQ213="0",BJ213,0)</f>
        <v>0</v>
      </c>
      <c r="AI213" s="18"/>
      <c r="AJ213" s="33" t="n">
        <f aca="false">IF(AN213=0,J213,0)</f>
        <v>0</v>
      </c>
      <c r="AK213" s="33" t="n">
        <f aca="false">IF(AN213=12,J213,0)</f>
        <v>0</v>
      </c>
      <c r="AL213" s="33" t="n">
        <f aca="false">IF(AN213=21,J213,0)</f>
        <v>0</v>
      </c>
      <c r="AN213" s="33" t="n">
        <v>12</v>
      </c>
      <c r="AO213" s="33" t="n">
        <f aca="false">G213*1</f>
        <v>0</v>
      </c>
      <c r="AP213" s="33" t="n">
        <f aca="false">G213*(1-1)</f>
        <v>0</v>
      </c>
      <c r="AQ213" s="35" t="s">
        <v>80</v>
      </c>
      <c r="AV213" s="33" t="n">
        <f aca="false">AW213+AX213</f>
        <v>0</v>
      </c>
      <c r="AW213" s="33" t="n">
        <f aca="false">F213*AO213</f>
        <v>0</v>
      </c>
      <c r="AX213" s="33" t="n">
        <f aca="false">F213*AP213</f>
        <v>0</v>
      </c>
      <c r="AY213" s="35" t="s">
        <v>433</v>
      </c>
      <c r="AZ213" s="35" t="s">
        <v>350</v>
      </c>
      <c r="BA213" s="18" t="s">
        <v>57</v>
      </c>
      <c r="BC213" s="33" t="n">
        <f aca="false">AW213+AX213</f>
        <v>0</v>
      </c>
      <c r="BD213" s="33" t="n">
        <f aca="false">G213/(100-BE213)*100</f>
        <v>0</v>
      </c>
      <c r="BE213" s="33" t="n">
        <v>0</v>
      </c>
      <c r="BF213" s="33" t="n">
        <f aca="false">212</f>
        <v>212</v>
      </c>
      <c r="BH213" s="33" t="n">
        <f aca="false">F213*AO213</f>
        <v>0</v>
      </c>
      <c r="BI213" s="33" t="n">
        <f aca="false">F213*AP213</f>
        <v>0</v>
      </c>
      <c r="BJ213" s="33" t="n">
        <f aca="false">F213*G213</f>
        <v>0</v>
      </c>
      <c r="BK213" s="33"/>
      <c r="BL213" s="33" t="n">
        <v>713</v>
      </c>
      <c r="BW213" s="33" t="n">
        <v>12</v>
      </c>
      <c r="BX213" s="9" t="s">
        <v>447</v>
      </c>
    </row>
    <row r="214" customFormat="false" ht="15" hidden="false" customHeight="false" outlineLevel="0" collapsed="false">
      <c r="A214" s="36"/>
      <c r="C214" s="37" t="s">
        <v>448</v>
      </c>
      <c r="D214" s="37"/>
      <c r="F214" s="38" t="n">
        <v>6.2928</v>
      </c>
      <c r="K214" s="39"/>
    </row>
    <row r="215" customFormat="false" ht="15" hidden="false" customHeight="false" outlineLevel="0" collapsed="false">
      <c r="A215" s="36"/>
      <c r="C215" s="37" t="s">
        <v>449</v>
      </c>
      <c r="D215" s="37"/>
      <c r="F215" s="38" t="n">
        <v>0.37757</v>
      </c>
      <c r="K215" s="39"/>
    </row>
    <row r="216" customFormat="false" ht="15" hidden="false" customHeight="true" outlineLevel="0" collapsed="false">
      <c r="A216" s="32" t="s">
        <v>450</v>
      </c>
      <c r="B216" s="10" t="s">
        <v>451</v>
      </c>
      <c r="C216" s="9" t="s">
        <v>452</v>
      </c>
      <c r="D216" s="9"/>
      <c r="E216" s="10" t="s">
        <v>83</v>
      </c>
      <c r="F216" s="33" t="n">
        <v>198.899</v>
      </c>
      <c r="G216" s="33" t="n">
        <v>0</v>
      </c>
      <c r="H216" s="33" t="n">
        <f aca="false">F216*AO216</f>
        <v>0</v>
      </c>
      <c r="I216" s="33" t="n">
        <f aca="false">F216*AP216</f>
        <v>0</v>
      </c>
      <c r="J216" s="33" t="n">
        <f aca="false">F216*G216</f>
        <v>0</v>
      </c>
      <c r="K216" s="34" t="s">
        <v>84</v>
      </c>
      <c r="Z216" s="33" t="n">
        <f aca="false">IF(AQ216="5",BJ216,0)</f>
        <v>0</v>
      </c>
      <c r="AB216" s="33" t="n">
        <f aca="false">IF(AQ216="1",BH216,0)</f>
        <v>0</v>
      </c>
      <c r="AC216" s="33" t="n">
        <f aca="false">IF(AQ216="1",BI216,0)</f>
        <v>0</v>
      </c>
      <c r="AD216" s="33" t="n">
        <f aca="false">IF(AQ216="7",BH216,0)</f>
        <v>0</v>
      </c>
      <c r="AE216" s="33" t="n">
        <f aca="false">IF(AQ216="7",BI216,0)</f>
        <v>0</v>
      </c>
      <c r="AF216" s="33" t="n">
        <f aca="false">IF(AQ216="2",BH216,0)</f>
        <v>0</v>
      </c>
      <c r="AG216" s="33" t="n">
        <f aca="false">IF(AQ216="2",BI216,0)</f>
        <v>0</v>
      </c>
      <c r="AH216" s="33" t="n">
        <f aca="false">IF(AQ216="0",BJ216,0)</f>
        <v>0</v>
      </c>
      <c r="AI216" s="18"/>
      <c r="AJ216" s="33" t="n">
        <f aca="false">IF(AN216=0,J216,0)</f>
        <v>0</v>
      </c>
      <c r="AK216" s="33" t="n">
        <f aca="false">IF(AN216=12,J216,0)</f>
        <v>0</v>
      </c>
      <c r="AL216" s="33" t="n">
        <f aca="false">IF(AN216=21,J216,0)</f>
        <v>0</v>
      </c>
      <c r="AN216" s="33" t="n">
        <v>12</v>
      </c>
      <c r="AO216" s="33" t="n">
        <f aca="false">G216*0</f>
        <v>0</v>
      </c>
      <c r="AP216" s="33" t="n">
        <f aca="false">G216*(1-0)</f>
        <v>0</v>
      </c>
      <c r="AQ216" s="35" t="s">
        <v>80</v>
      </c>
      <c r="AV216" s="33" t="n">
        <f aca="false">AW216+AX216</f>
        <v>0</v>
      </c>
      <c r="AW216" s="33" t="n">
        <f aca="false">F216*AO216</f>
        <v>0</v>
      </c>
      <c r="AX216" s="33" t="n">
        <f aca="false">F216*AP216</f>
        <v>0</v>
      </c>
      <c r="AY216" s="35" t="s">
        <v>433</v>
      </c>
      <c r="AZ216" s="35" t="s">
        <v>350</v>
      </c>
      <c r="BA216" s="18" t="s">
        <v>57</v>
      </c>
      <c r="BC216" s="33" t="n">
        <f aca="false">AW216+AX216</f>
        <v>0</v>
      </c>
      <c r="BD216" s="33" t="n">
        <f aca="false">G216/(100-BE216)*100</f>
        <v>0</v>
      </c>
      <c r="BE216" s="33" t="n">
        <v>0</v>
      </c>
      <c r="BF216" s="33" t="n">
        <f aca="false">215</f>
        <v>215</v>
      </c>
      <c r="BH216" s="33" t="n">
        <f aca="false">F216*AO216</f>
        <v>0</v>
      </c>
      <c r="BI216" s="33" t="n">
        <f aca="false">F216*AP216</f>
        <v>0</v>
      </c>
      <c r="BJ216" s="33" t="n">
        <f aca="false">F216*G216</f>
        <v>0</v>
      </c>
      <c r="BK216" s="33"/>
      <c r="BL216" s="33" t="n">
        <v>713</v>
      </c>
      <c r="BW216" s="33" t="n">
        <v>12</v>
      </c>
      <c r="BX216" s="9" t="s">
        <v>452</v>
      </c>
    </row>
    <row r="217" customFormat="false" ht="15" hidden="false" customHeight="false" outlineLevel="0" collapsed="false">
      <c r="A217" s="36"/>
      <c r="C217" s="37" t="s">
        <v>297</v>
      </c>
      <c r="D217" s="37"/>
      <c r="F217" s="38" t="n">
        <v>198.899</v>
      </c>
      <c r="K217" s="39"/>
    </row>
    <row r="218" customFormat="false" ht="15" hidden="false" customHeight="true" outlineLevel="0" collapsed="false">
      <c r="A218" s="32" t="s">
        <v>453</v>
      </c>
      <c r="B218" s="10" t="s">
        <v>446</v>
      </c>
      <c r="C218" s="9" t="s">
        <v>447</v>
      </c>
      <c r="D218" s="9"/>
      <c r="E218" s="10" t="s">
        <v>98</v>
      </c>
      <c r="F218" s="33" t="n">
        <v>10.54165</v>
      </c>
      <c r="G218" s="33" t="n">
        <v>0</v>
      </c>
      <c r="H218" s="33" t="n">
        <f aca="false">F218*AO218</f>
        <v>0</v>
      </c>
      <c r="I218" s="33" t="n">
        <f aca="false">F218*AP218</f>
        <v>0</v>
      </c>
      <c r="J218" s="33" t="n">
        <f aca="false">F218*G218</f>
        <v>0</v>
      </c>
      <c r="K218" s="34" t="s">
        <v>84</v>
      </c>
      <c r="Z218" s="33" t="n">
        <f aca="false">IF(AQ218="5",BJ218,0)</f>
        <v>0</v>
      </c>
      <c r="AB218" s="33" t="n">
        <f aca="false">IF(AQ218="1",BH218,0)</f>
        <v>0</v>
      </c>
      <c r="AC218" s="33" t="n">
        <f aca="false">IF(AQ218="1",BI218,0)</f>
        <v>0</v>
      </c>
      <c r="AD218" s="33" t="n">
        <f aca="false">IF(AQ218="7",BH218,0)</f>
        <v>0</v>
      </c>
      <c r="AE218" s="33" t="n">
        <f aca="false">IF(AQ218="7",BI218,0)</f>
        <v>0</v>
      </c>
      <c r="AF218" s="33" t="n">
        <f aca="false">IF(AQ218="2",BH218,0)</f>
        <v>0</v>
      </c>
      <c r="AG218" s="33" t="n">
        <f aca="false">IF(AQ218="2",BI218,0)</f>
        <v>0</v>
      </c>
      <c r="AH218" s="33" t="n">
        <f aca="false">IF(AQ218="0",BJ218,0)</f>
        <v>0</v>
      </c>
      <c r="AI218" s="18"/>
      <c r="AJ218" s="33" t="n">
        <f aca="false">IF(AN218=0,J218,0)</f>
        <v>0</v>
      </c>
      <c r="AK218" s="33" t="n">
        <f aca="false">IF(AN218=12,J218,0)</f>
        <v>0</v>
      </c>
      <c r="AL218" s="33" t="n">
        <f aca="false">IF(AN218=21,J218,0)</f>
        <v>0</v>
      </c>
      <c r="AN218" s="33" t="n">
        <v>12</v>
      </c>
      <c r="AO218" s="33" t="n">
        <f aca="false">G218*1</f>
        <v>0</v>
      </c>
      <c r="AP218" s="33" t="n">
        <f aca="false">G218*(1-1)</f>
        <v>0</v>
      </c>
      <c r="AQ218" s="35" t="s">
        <v>80</v>
      </c>
      <c r="AV218" s="33" t="n">
        <f aca="false">AW218+AX218</f>
        <v>0</v>
      </c>
      <c r="AW218" s="33" t="n">
        <f aca="false">F218*AO218</f>
        <v>0</v>
      </c>
      <c r="AX218" s="33" t="n">
        <f aca="false">F218*AP218</f>
        <v>0</v>
      </c>
      <c r="AY218" s="35" t="s">
        <v>433</v>
      </c>
      <c r="AZ218" s="35" t="s">
        <v>350</v>
      </c>
      <c r="BA218" s="18" t="s">
        <v>57</v>
      </c>
      <c r="BC218" s="33" t="n">
        <f aca="false">AW218+AX218</f>
        <v>0</v>
      </c>
      <c r="BD218" s="33" t="n">
        <f aca="false">G218/(100-BE218)*100</f>
        <v>0</v>
      </c>
      <c r="BE218" s="33" t="n">
        <v>0</v>
      </c>
      <c r="BF218" s="33" t="n">
        <f aca="false">217</f>
        <v>217</v>
      </c>
      <c r="BH218" s="33" t="n">
        <f aca="false">F218*AO218</f>
        <v>0</v>
      </c>
      <c r="BI218" s="33" t="n">
        <f aca="false">F218*AP218</f>
        <v>0</v>
      </c>
      <c r="BJ218" s="33" t="n">
        <f aca="false">F218*G218</f>
        <v>0</v>
      </c>
      <c r="BK218" s="33"/>
      <c r="BL218" s="33" t="n">
        <v>713</v>
      </c>
      <c r="BW218" s="33" t="n">
        <v>12</v>
      </c>
      <c r="BX218" s="9" t="s">
        <v>447</v>
      </c>
    </row>
    <row r="219" customFormat="false" ht="15" hidden="false" customHeight="false" outlineLevel="0" collapsed="false">
      <c r="A219" s="36"/>
      <c r="C219" s="37" t="s">
        <v>454</v>
      </c>
      <c r="D219" s="37"/>
      <c r="F219" s="38" t="n">
        <v>9.94495</v>
      </c>
      <c r="K219" s="39"/>
    </row>
    <row r="220" customFormat="false" ht="15" hidden="false" customHeight="false" outlineLevel="0" collapsed="false">
      <c r="A220" s="36"/>
      <c r="C220" s="37" t="s">
        <v>455</v>
      </c>
      <c r="D220" s="37"/>
      <c r="F220" s="38" t="n">
        <v>0.5967</v>
      </c>
      <c r="K220" s="39"/>
    </row>
    <row r="221" customFormat="false" ht="15" hidden="false" customHeight="true" outlineLevel="0" collapsed="false">
      <c r="A221" s="32" t="s">
        <v>456</v>
      </c>
      <c r="B221" s="10" t="s">
        <v>457</v>
      </c>
      <c r="C221" s="9" t="s">
        <v>407</v>
      </c>
      <c r="D221" s="9"/>
      <c r="E221" s="10" t="s">
        <v>172</v>
      </c>
      <c r="F221" s="33" t="n">
        <v>2.177</v>
      </c>
      <c r="G221" s="33" t="n">
        <v>0</v>
      </c>
      <c r="H221" s="33" t="n">
        <f aca="false">F221*AO221</f>
        <v>0</v>
      </c>
      <c r="I221" s="33" t="n">
        <f aca="false">F221*AP221</f>
        <v>0</v>
      </c>
      <c r="J221" s="33" t="n">
        <f aca="false">F221*G221</f>
        <v>0</v>
      </c>
      <c r="K221" s="34" t="s">
        <v>55</v>
      </c>
      <c r="Z221" s="33" t="n">
        <f aca="false">IF(AQ221="5",BJ221,0)</f>
        <v>0</v>
      </c>
      <c r="AB221" s="33" t="n">
        <f aca="false">IF(AQ221="1",BH221,0)</f>
        <v>0</v>
      </c>
      <c r="AC221" s="33" t="n">
        <f aca="false">IF(AQ221="1",BI221,0)</f>
        <v>0</v>
      </c>
      <c r="AD221" s="33" t="n">
        <f aca="false">IF(AQ221="7",BH221,0)</f>
        <v>0</v>
      </c>
      <c r="AE221" s="33" t="n">
        <f aca="false">IF(AQ221="7",BI221,0)</f>
        <v>0</v>
      </c>
      <c r="AF221" s="33" t="n">
        <f aca="false">IF(AQ221="2",BH221,0)</f>
        <v>0</v>
      </c>
      <c r="AG221" s="33" t="n">
        <f aca="false">IF(AQ221="2",BI221,0)</f>
        <v>0</v>
      </c>
      <c r="AH221" s="33" t="n">
        <f aca="false">IF(AQ221="0",BJ221,0)</f>
        <v>0</v>
      </c>
      <c r="AI221" s="18"/>
      <c r="AJ221" s="33" t="n">
        <f aca="false">IF(AN221=0,J221,0)</f>
        <v>0</v>
      </c>
      <c r="AK221" s="33" t="n">
        <f aca="false">IF(AN221=12,J221,0)</f>
        <v>0</v>
      </c>
      <c r="AL221" s="33" t="n">
        <f aca="false">IF(AN221=21,J221,0)</f>
        <v>0</v>
      </c>
      <c r="AN221" s="33" t="n">
        <v>12</v>
      </c>
      <c r="AO221" s="33" t="n">
        <f aca="false">G221*0</f>
        <v>0</v>
      </c>
      <c r="AP221" s="33" t="n">
        <f aca="false">G221*(1-0)</f>
        <v>0</v>
      </c>
      <c r="AQ221" s="35" t="s">
        <v>68</v>
      </c>
      <c r="AV221" s="33" t="n">
        <f aca="false">AW221+AX221</f>
        <v>0</v>
      </c>
      <c r="AW221" s="33" t="n">
        <f aca="false">F221*AO221</f>
        <v>0</v>
      </c>
      <c r="AX221" s="33" t="n">
        <f aca="false">F221*AP221</f>
        <v>0</v>
      </c>
      <c r="AY221" s="35" t="s">
        <v>433</v>
      </c>
      <c r="AZ221" s="35" t="s">
        <v>350</v>
      </c>
      <c r="BA221" s="18" t="s">
        <v>57</v>
      </c>
      <c r="BC221" s="33" t="n">
        <f aca="false">AW221+AX221</f>
        <v>0</v>
      </c>
      <c r="BD221" s="33" t="n">
        <f aca="false">G221/(100-BE221)*100</f>
        <v>0</v>
      </c>
      <c r="BE221" s="33" t="n">
        <v>0</v>
      </c>
      <c r="BF221" s="33" t="n">
        <f aca="false">220</f>
        <v>220</v>
      </c>
      <c r="BH221" s="33" t="n">
        <f aca="false">F221*AO221</f>
        <v>0</v>
      </c>
      <c r="BI221" s="33" t="n">
        <f aca="false">F221*AP221</f>
        <v>0</v>
      </c>
      <c r="BJ221" s="33" t="n">
        <f aca="false">F221*G221</f>
        <v>0</v>
      </c>
      <c r="BK221" s="33"/>
      <c r="BL221" s="33" t="n">
        <v>713</v>
      </c>
      <c r="BW221" s="33" t="n">
        <v>12</v>
      </c>
      <c r="BX221" s="9" t="s">
        <v>407</v>
      </c>
    </row>
    <row r="222" customFormat="false" ht="15" hidden="false" customHeight="false" outlineLevel="0" collapsed="false">
      <c r="A222" s="36"/>
      <c r="C222" s="37" t="s">
        <v>458</v>
      </c>
      <c r="D222" s="37"/>
      <c r="F222" s="38" t="n">
        <v>2.177</v>
      </c>
      <c r="K222" s="39"/>
    </row>
    <row r="223" customFormat="false" ht="15" hidden="false" customHeight="true" outlineLevel="0" collapsed="false">
      <c r="A223" s="27"/>
      <c r="B223" s="28" t="s">
        <v>459</v>
      </c>
      <c r="C223" s="29" t="s">
        <v>460</v>
      </c>
      <c r="D223" s="29"/>
      <c r="E223" s="30" t="s">
        <v>4</v>
      </c>
      <c r="F223" s="30" t="s">
        <v>4</v>
      </c>
      <c r="G223" s="30" t="s">
        <v>4</v>
      </c>
      <c r="H223" s="2" t="n">
        <f aca="false">SUM(H224:H230)</f>
        <v>0</v>
      </c>
      <c r="I223" s="2" t="n">
        <f aca="false">SUM(I224:I230)</f>
        <v>0</v>
      </c>
      <c r="J223" s="2" t="n">
        <f aca="false">SUM(J224:J230)</f>
        <v>0</v>
      </c>
      <c r="K223" s="31"/>
      <c r="AI223" s="18"/>
      <c r="AS223" s="2" t="n">
        <f aca="false">SUM(AJ224:AJ230)</f>
        <v>0</v>
      </c>
      <c r="AT223" s="2" t="n">
        <f aca="false">SUM(AK224:AK230)</f>
        <v>0</v>
      </c>
      <c r="AU223" s="2" t="n">
        <f aca="false">SUM(AL224:AL230)</f>
        <v>0</v>
      </c>
    </row>
    <row r="224" customFormat="false" ht="15" hidden="false" customHeight="true" outlineLevel="0" collapsed="false">
      <c r="A224" s="32" t="s">
        <v>461</v>
      </c>
      <c r="B224" s="10" t="s">
        <v>462</v>
      </c>
      <c r="C224" s="9" t="s">
        <v>463</v>
      </c>
      <c r="D224" s="9"/>
      <c r="E224" s="10" t="s">
        <v>163</v>
      </c>
      <c r="F224" s="33" t="n">
        <v>5</v>
      </c>
      <c r="G224" s="33" t="n">
        <v>0</v>
      </c>
      <c r="H224" s="33" t="n">
        <f aca="false">F224*AO224</f>
        <v>0</v>
      </c>
      <c r="I224" s="33" t="n">
        <f aca="false">F224*AP224</f>
        <v>0</v>
      </c>
      <c r="J224" s="33" t="n">
        <f aca="false">F224*G224</f>
        <v>0</v>
      </c>
      <c r="K224" s="34" t="s">
        <v>55</v>
      </c>
      <c r="Z224" s="33" t="n">
        <f aca="false">IF(AQ224="5",BJ224,0)</f>
        <v>0</v>
      </c>
      <c r="AB224" s="33" t="n">
        <f aca="false">IF(AQ224="1",BH224,0)</f>
        <v>0</v>
      </c>
      <c r="AC224" s="33" t="n">
        <f aca="false">IF(AQ224="1",BI224,0)</f>
        <v>0</v>
      </c>
      <c r="AD224" s="33" t="n">
        <f aca="false">IF(AQ224="7",BH224,0)</f>
        <v>0</v>
      </c>
      <c r="AE224" s="33" t="n">
        <f aca="false">IF(AQ224="7",BI224,0)</f>
        <v>0</v>
      </c>
      <c r="AF224" s="33" t="n">
        <f aca="false">IF(AQ224="2",BH224,0)</f>
        <v>0</v>
      </c>
      <c r="AG224" s="33" t="n">
        <f aca="false">IF(AQ224="2",BI224,0)</f>
        <v>0</v>
      </c>
      <c r="AH224" s="33" t="n">
        <f aca="false">IF(AQ224="0",BJ224,0)</f>
        <v>0</v>
      </c>
      <c r="AI224" s="18"/>
      <c r="AJ224" s="33" t="n">
        <f aca="false">IF(AN224=0,J224,0)</f>
        <v>0</v>
      </c>
      <c r="AK224" s="33" t="n">
        <f aca="false">IF(AN224=12,J224,0)</f>
        <v>0</v>
      </c>
      <c r="AL224" s="33" t="n">
        <f aca="false">IF(AN224=21,J224,0)</f>
        <v>0</v>
      </c>
      <c r="AN224" s="33" t="n">
        <v>12</v>
      </c>
      <c r="AO224" s="33" t="n">
        <f aca="false">G224*0.812314468</f>
        <v>0</v>
      </c>
      <c r="AP224" s="33" t="n">
        <f aca="false">G224*(1-0.812314468)</f>
        <v>0</v>
      </c>
      <c r="AQ224" s="35" t="s">
        <v>80</v>
      </c>
      <c r="AV224" s="33" t="n">
        <f aca="false">AW224+AX224</f>
        <v>0</v>
      </c>
      <c r="AW224" s="33" t="n">
        <f aca="false">F224*AO224</f>
        <v>0</v>
      </c>
      <c r="AX224" s="33" t="n">
        <f aca="false">F224*AP224</f>
        <v>0</v>
      </c>
      <c r="AY224" s="35" t="s">
        <v>464</v>
      </c>
      <c r="AZ224" s="35" t="s">
        <v>465</v>
      </c>
      <c r="BA224" s="18" t="s">
        <v>57</v>
      </c>
      <c r="BC224" s="33" t="n">
        <f aca="false">AW224+AX224</f>
        <v>0</v>
      </c>
      <c r="BD224" s="33" t="n">
        <f aca="false">G224/(100-BE224)*100</f>
        <v>0</v>
      </c>
      <c r="BE224" s="33" t="n">
        <v>0</v>
      </c>
      <c r="BF224" s="33" t="n">
        <f aca="false">223</f>
        <v>223</v>
      </c>
      <c r="BH224" s="33" t="n">
        <f aca="false">F224*AO224</f>
        <v>0</v>
      </c>
      <c r="BI224" s="33" t="n">
        <f aca="false">F224*AP224</f>
        <v>0</v>
      </c>
      <c r="BJ224" s="33" t="n">
        <f aca="false">F224*G224</f>
        <v>0</v>
      </c>
      <c r="BK224" s="33"/>
      <c r="BL224" s="33" t="n">
        <v>721</v>
      </c>
      <c r="BW224" s="33" t="n">
        <v>12</v>
      </c>
      <c r="BX224" s="9" t="s">
        <v>463</v>
      </c>
    </row>
    <row r="225" customFormat="false" ht="15" hidden="false" customHeight="false" outlineLevel="0" collapsed="false">
      <c r="A225" s="36"/>
      <c r="C225" s="37" t="s">
        <v>68</v>
      </c>
      <c r="D225" s="37" t="s">
        <v>466</v>
      </c>
      <c r="F225" s="38" t="n">
        <v>5</v>
      </c>
      <c r="K225" s="39"/>
    </row>
    <row r="226" customFormat="false" ht="15" hidden="false" customHeight="true" outlineLevel="0" collapsed="false">
      <c r="A226" s="32" t="s">
        <v>467</v>
      </c>
      <c r="B226" s="10" t="s">
        <v>468</v>
      </c>
      <c r="C226" s="9" t="s">
        <v>469</v>
      </c>
      <c r="D226" s="9"/>
      <c r="E226" s="10" t="s">
        <v>163</v>
      </c>
      <c r="F226" s="33" t="n">
        <v>2</v>
      </c>
      <c r="G226" s="33" t="n">
        <v>0</v>
      </c>
      <c r="H226" s="33" t="n">
        <f aca="false">F226*AO226</f>
        <v>0</v>
      </c>
      <c r="I226" s="33" t="n">
        <f aca="false">F226*AP226</f>
        <v>0</v>
      </c>
      <c r="J226" s="33" t="n">
        <f aca="false">F226*G226</f>
        <v>0</v>
      </c>
      <c r="K226" s="34" t="s">
        <v>55</v>
      </c>
      <c r="Z226" s="33" t="n">
        <f aca="false">IF(AQ226="5",BJ226,0)</f>
        <v>0</v>
      </c>
      <c r="AB226" s="33" t="n">
        <f aca="false">IF(AQ226="1",BH226,0)</f>
        <v>0</v>
      </c>
      <c r="AC226" s="33" t="n">
        <f aca="false">IF(AQ226="1",BI226,0)</f>
        <v>0</v>
      </c>
      <c r="AD226" s="33" t="n">
        <f aca="false">IF(AQ226="7",BH226,0)</f>
        <v>0</v>
      </c>
      <c r="AE226" s="33" t="n">
        <f aca="false">IF(AQ226="7",BI226,0)</f>
        <v>0</v>
      </c>
      <c r="AF226" s="33" t="n">
        <f aca="false">IF(AQ226="2",BH226,0)</f>
        <v>0</v>
      </c>
      <c r="AG226" s="33" t="n">
        <f aca="false">IF(AQ226="2",BI226,0)</f>
        <v>0</v>
      </c>
      <c r="AH226" s="33" t="n">
        <f aca="false">IF(AQ226="0",BJ226,0)</f>
        <v>0</v>
      </c>
      <c r="AI226" s="18"/>
      <c r="AJ226" s="33" t="n">
        <f aca="false">IF(AN226=0,J226,0)</f>
        <v>0</v>
      </c>
      <c r="AK226" s="33" t="n">
        <f aca="false">IF(AN226=12,J226,0)</f>
        <v>0</v>
      </c>
      <c r="AL226" s="33" t="n">
        <f aca="false">IF(AN226=21,J226,0)</f>
        <v>0</v>
      </c>
      <c r="AN226" s="33" t="n">
        <v>12</v>
      </c>
      <c r="AO226" s="33" t="n">
        <f aca="false">G226*1</f>
        <v>0</v>
      </c>
      <c r="AP226" s="33" t="n">
        <f aca="false">G226*(1-1)</f>
        <v>0</v>
      </c>
      <c r="AQ226" s="35" t="s">
        <v>80</v>
      </c>
      <c r="AV226" s="33" t="n">
        <f aca="false">AW226+AX226</f>
        <v>0</v>
      </c>
      <c r="AW226" s="33" t="n">
        <f aca="false">F226*AO226</f>
        <v>0</v>
      </c>
      <c r="AX226" s="33" t="n">
        <f aca="false">F226*AP226</f>
        <v>0</v>
      </c>
      <c r="AY226" s="35" t="s">
        <v>464</v>
      </c>
      <c r="AZ226" s="35" t="s">
        <v>465</v>
      </c>
      <c r="BA226" s="18" t="s">
        <v>57</v>
      </c>
      <c r="BC226" s="33" t="n">
        <f aca="false">AW226+AX226</f>
        <v>0</v>
      </c>
      <c r="BD226" s="33" t="n">
        <f aca="false">G226/(100-BE226)*100</f>
        <v>0</v>
      </c>
      <c r="BE226" s="33" t="n">
        <v>0</v>
      </c>
      <c r="BF226" s="33" t="n">
        <f aca="false">225</f>
        <v>225</v>
      </c>
      <c r="BH226" s="33" t="n">
        <f aca="false">F226*AO226</f>
        <v>0</v>
      </c>
      <c r="BI226" s="33" t="n">
        <f aca="false">F226*AP226</f>
        <v>0</v>
      </c>
      <c r="BJ226" s="33" t="n">
        <f aca="false">F226*G226</f>
        <v>0</v>
      </c>
      <c r="BK226" s="33"/>
      <c r="BL226" s="33" t="n">
        <v>721</v>
      </c>
      <c r="BW226" s="33" t="n">
        <v>12</v>
      </c>
      <c r="BX226" s="9" t="s">
        <v>469</v>
      </c>
    </row>
    <row r="227" customFormat="false" ht="15" hidden="false" customHeight="false" outlineLevel="0" collapsed="false">
      <c r="A227" s="36"/>
      <c r="C227" s="37" t="s">
        <v>58</v>
      </c>
      <c r="D227" s="37"/>
      <c r="F227" s="38" t="n">
        <v>2</v>
      </c>
      <c r="K227" s="39"/>
    </row>
    <row r="228" customFormat="false" ht="15" hidden="false" customHeight="true" outlineLevel="0" collapsed="false">
      <c r="A228" s="32" t="s">
        <v>470</v>
      </c>
      <c r="B228" s="10" t="s">
        <v>471</v>
      </c>
      <c r="C228" s="9" t="s">
        <v>472</v>
      </c>
      <c r="D228" s="9"/>
      <c r="E228" s="10" t="s">
        <v>91</v>
      </c>
      <c r="F228" s="33" t="n">
        <v>2</v>
      </c>
      <c r="G228" s="33" t="n">
        <v>0</v>
      </c>
      <c r="H228" s="33" t="n">
        <f aca="false">F228*AO228</f>
        <v>0</v>
      </c>
      <c r="I228" s="33" t="n">
        <f aca="false">F228*AP228</f>
        <v>0</v>
      </c>
      <c r="J228" s="33" t="n">
        <f aca="false">F228*G228</f>
        <v>0</v>
      </c>
      <c r="K228" s="34" t="s">
        <v>55</v>
      </c>
      <c r="Z228" s="33" t="n">
        <f aca="false">IF(AQ228="5",BJ228,0)</f>
        <v>0</v>
      </c>
      <c r="AB228" s="33" t="n">
        <f aca="false">IF(AQ228="1",BH228,0)</f>
        <v>0</v>
      </c>
      <c r="AC228" s="33" t="n">
        <f aca="false">IF(AQ228="1",BI228,0)</f>
        <v>0</v>
      </c>
      <c r="AD228" s="33" t="n">
        <f aca="false">IF(AQ228="7",BH228,0)</f>
        <v>0</v>
      </c>
      <c r="AE228" s="33" t="n">
        <f aca="false">IF(AQ228="7",BI228,0)</f>
        <v>0</v>
      </c>
      <c r="AF228" s="33" t="n">
        <f aca="false">IF(AQ228="2",BH228,0)</f>
        <v>0</v>
      </c>
      <c r="AG228" s="33" t="n">
        <f aca="false">IF(AQ228="2",BI228,0)</f>
        <v>0</v>
      </c>
      <c r="AH228" s="33" t="n">
        <f aca="false">IF(AQ228="0",BJ228,0)</f>
        <v>0</v>
      </c>
      <c r="AI228" s="18"/>
      <c r="AJ228" s="33" t="n">
        <f aca="false">IF(AN228=0,J228,0)</f>
        <v>0</v>
      </c>
      <c r="AK228" s="33" t="n">
        <f aca="false">IF(AN228=12,J228,0)</f>
        <v>0</v>
      </c>
      <c r="AL228" s="33" t="n">
        <f aca="false">IF(AN228=21,J228,0)</f>
        <v>0</v>
      </c>
      <c r="AN228" s="33" t="n">
        <v>12</v>
      </c>
      <c r="AO228" s="33" t="n">
        <f aca="false">G228*0</f>
        <v>0</v>
      </c>
      <c r="AP228" s="33" t="n">
        <f aca="false">G228*(1-0)</f>
        <v>0</v>
      </c>
      <c r="AQ228" s="35" t="s">
        <v>80</v>
      </c>
      <c r="AV228" s="33" t="n">
        <f aca="false">AW228+AX228</f>
        <v>0</v>
      </c>
      <c r="AW228" s="33" t="n">
        <f aca="false">F228*AO228</f>
        <v>0</v>
      </c>
      <c r="AX228" s="33" t="n">
        <f aca="false">F228*AP228</f>
        <v>0</v>
      </c>
      <c r="AY228" s="35" t="s">
        <v>464</v>
      </c>
      <c r="AZ228" s="35" t="s">
        <v>465</v>
      </c>
      <c r="BA228" s="18" t="s">
        <v>57</v>
      </c>
      <c r="BC228" s="33" t="n">
        <f aca="false">AW228+AX228</f>
        <v>0</v>
      </c>
      <c r="BD228" s="33" t="n">
        <f aca="false">G228/(100-BE228)*100</f>
        <v>0</v>
      </c>
      <c r="BE228" s="33" t="n">
        <v>0</v>
      </c>
      <c r="BF228" s="33" t="n">
        <f aca="false">227</f>
        <v>227</v>
      </c>
      <c r="BH228" s="33" t="n">
        <f aca="false">F228*AO228</f>
        <v>0</v>
      </c>
      <c r="BI228" s="33" t="n">
        <f aca="false">F228*AP228</f>
        <v>0</v>
      </c>
      <c r="BJ228" s="33" t="n">
        <f aca="false">F228*G228</f>
        <v>0</v>
      </c>
      <c r="BK228" s="33"/>
      <c r="BL228" s="33" t="n">
        <v>721</v>
      </c>
      <c r="BW228" s="33" t="n">
        <v>12</v>
      </c>
      <c r="BX228" s="9" t="s">
        <v>472</v>
      </c>
    </row>
    <row r="229" customFormat="false" ht="15" hidden="false" customHeight="false" outlineLevel="0" collapsed="false">
      <c r="A229" s="36"/>
      <c r="C229" s="37" t="s">
        <v>58</v>
      </c>
      <c r="D229" s="37"/>
      <c r="F229" s="38" t="n">
        <v>2</v>
      </c>
      <c r="K229" s="39"/>
    </row>
    <row r="230" customFormat="false" ht="15" hidden="false" customHeight="true" outlineLevel="0" collapsed="false">
      <c r="A230" s="32" t="s">
        <v>473</v>
      </c>
      <c r="B230" s="10" t="s">
        <v>474</v>
      </c>
      <c r="C230" s="9" t="s">
        <v>475</v>
      </c>
      <c r="D230" s="9"/>
      <c r="E230" s="10" t="s">
        <v>163</v>
      </c>
      <c r="F230" s="33" t="n">
        <v>5</v>
      </c>
      <c r="G230" s="33" t="n">
        <v>0</v>
      </c>
      <c r="H230" s="33" t="n">
        <f aca="false">F230*AO230</f>
        <v>0</v>
      </c>
      <c r="I230" s="33" t="n">
        <f aca="false">F230*AP230</f>
        <v>0</v>
      </c>
      <c r="J230" s="33" t="n">
        <f aca="false">F230*G230</f>
        <v>0</v>
      </c>
      <c r="K230" s="34" t="s">
        <v>55</v>
      </c>
      <c r="Z230" s="33" t="n">
        <f aca="false">IF(AQ230="5",BJ230,0)</f>
        <v>0</v>
      </c>
      <c r="AB230" s="33" t="n">
        <f aca="false">IF(AQ230="1",BH230,0)</f>
        <v>0</v>
      </c>
      <c r="AC230" s="33" t="n">
        <f aca="false">IF(AQ230="1",BI230,0)</f>
        <v>0</v>
      </c>
      <c r="AD230" s="33" t="n">
        <f aca="false">IF(AQ230="7",BH230,0)</f>
        <v>0</v>
      </c>
      <c r="AE230" s="33" t="n">
        <f aca="false">IF(AQ230="7",BI230,0)</f>
        <v>0</v>
      </c>
      <c r="AF230" s="33" t="n">
        <f aca="false">IF(AQ230="2",BH230,0)</f>
        <v>0</v>
      </c>
      <c r="AG230" s="33" t="n">
        <f aca="false">IF(AQ230="2",BI230,0)</f>
        <v>0</v>
      </c>
      <c r="AH230" s="33" t="n">
        <f aca="false">IF(AQ230="0",BJ230,0)</f>
        <v>0</v>
      </c>
      <c r="AI230" s="18"/>
      <c r="AJ230" s="33" t="n">
        <f aca="false">IF(AN230=0,J230,0)</f>
        <v>0</v>
      </c>
      <c r="AK230" s="33" t="n">
        <f aca="false">IF(AN230=12,J230,0)</f>
        <v>0</v>
      </c>
      <c r="AL230" s="33" t="n">
        <f aca="false">IF(AN230=21,J230,0)</f>
        <v>0</v>
      </c>
      <c r="AN230" s="33" t="n">
        <v>12</v>
      </c>
      <c r="AO230" s="33" t="n">
        <f aca="false">G230*0.502076234</f>
        <v>0</v>
      </c>
      <c r="AP230" s="33" t="n">
        <f aca="false">G230*(1-0.502076234)</f>
        <v>0</v>
      </c>
      <c r="AQ230" s="35" t="s">
        <v>80</v>
      </c>
      <c r="AV230" s="33" t="n">
        <f aca="false">AW230+AX230</f>
        <v>0</v>
      </c>
      <c r="AW230" s="33" t="n">
        <f aca="false">F230*AO230</f>
        <v>0</v>
      </c>
      <c r="AX230" s="33" t="n">
        <f aca="false">F230*AP230</f>
        <v>0</v>
      </c>
      <c r="AY230" s="35" t="s">
        <v>464</v>
      </c>
      <c r="AZ230" s="35" t="s">
        <v>465</v>
      </c>
      <c r="BA230" s="18" t="s">
        <v>57</v>
      </c>
      <c r="BC230" s="33" t="n">
        <f aca="false">AW230+AX230</f>
        <v>0</v>
      </c>
      <c r="BD230" s="33" t="n">
        <f aca="false">G230/(100-BE230)*100</f>
        <v>0</v>
      </c>
      <c r="BE230" s="33" t="n">
        <v>0</v>
      </c>
      <c r="BF230" s="33" t="n">
        <f aca="false">229</f>
        <v>229</v>
      </c>
      <c r="BH230" s="33" t="n">
        <f aca="false">F230*AO230</f>
        <v>0</v>
      </c>
      <c r="BI230" s="33" t="n">
        <f aca="false">F230*AP230</f>
        <v>0</v>
      </c>
      <c r="BJ230" s="33" t="n">
        <f aca="false">F230*G230</f>
        <v>0</v>
      </c>
      <c r="BK230" s="33"/>
      <c r="BL230" s="33" t="n">
        <v>721</v>
      </c>
      <c r="BW230" s="33" t="n">
        <v>12</v>
      </c>
      <c r="BX230" s="9" t="s">
        <v>475</v>
      </c>
    </row>
    <row r="231" customFormat="false" ht="15" hidden="false" customHeight="false" outlineLevel="0" collapsed="false">
      <c r="A231" s="36"/>
      <c r="C231" s="37" t="s">
        <v>68</v>
      </c>
      <c r="D231" s="37"/>
      <c r="F231" s="38" t="n">
        <v>5</v>
      </c>
      <c r="K231" s="39"/>
    </row>
    <row r="232" customFormat="false" ht="15" hidden="false" customHeight="true" outlineLevel="0" collapsed="false">
      <c r="A232" s="27"/>
      <c r="B232" s="28" t="s">
        <v>476</v>
      </c>
      <c r="C232" s="29" t="s">
        <v>477</v>
      </c>
      <c r="D232" s="29"/>
      <c r="E232" s="30" t="s">
        <v>4</v>
      </c>
      <c r="F232" s="30" t="s">
        <v>4</v>
      </c>
      <c r="G232" s="30" t="s">
        <v>4</v>
      </c>
      <c r="H232" s="2" t="n">
        <f aca="false">SUM(H233:H277)</f>
        <v>0</v>
      </c>
      <c r="I232" s="2" t="n">
        <f aca="false">SUM(I233:I277)</f>
        <v>0</v>
      </c>
      <c r="J232" s="2" t="n">
        <f aca="false">SUM(J233:J277)</f>
        <v>0</v>
      </c>
      <c r="K232" s="31"/>
      <c r="AI232" s="18"/>
      <c r="AS232" s="2" t="n">
        <f aca="false">SUM(AJ233:AJ277)</f>
        <v>0</v>
      </c>
      <c r="AT232" s="2" t="n">
        <f aca="false">SUM(AK233:AK277)</f>
        <v>0</v>
      </c>
      <c r="AU232" s="2" t="n">
        <f aca="false">SUM(AL233:AL277)</f>
        <v>0</v>
      </c>
    </row>
    <row r="233" customFormat="false" ht="15" hidden="false" customHeight="true" outlineLevel="0" collapsed="false">
      <c r="A233" s="32" t="s">
        <v>478</v>
      </c>
      <c r="B233" s="10" t="s">
        <v>479</v>
      </c>
      <c r="C233" s="9" t="s">
        <v>480</v>
      </c>
      <c r="D233" s="9"/>
      <c r="E233" s="10" t="s">
        <v>83</v>
      </c>
      <c r="F233" s="33" t="n">
        <v>11.9875</v>
      </c>
      <c r="G233" s="33" t="n">
        <v>0</v>
      </c>
      <c r="H233" s="33" t="n">
        <f aca="false">F233*AO233</f>
        <v>0</v>
      </c>
      <c r="I233" s="33" t="n">
        <f aca="false">F233*AP233</f>
        <v>0</v>
      </c>
      <c r="J233" s="33" t="n">
        <f aca="false">F233*G233</f>
        <v>0</v>
      </c>
      <c r="K233" s="34" t="s">
        <v>55</v>
      </c>
      <c r="Z233" s="33" t="n">
        <f aca="false">IF(AQ233="5",BJ233,0)</f>
        <v>0</v>
      </c>
      <c r="AB233" s="33" t="n">
        <f aca="false">IF(AQ233="1",BH233,0)</f>
        <v>0</v>
      </c>
      <c r="AC233" s="33" t="n">
        <f aca="false">IF(AQ233="1",BI233,0)</f>
        <v>0</v>
      </c>
      <c r="AD233" s="33" t="n">
        <f aca="false">IF(AQ233="7",BH233,0)</f>
        <v>0</v>
      </c>
      <c r="AE233" s="33" t="n">
        <f aca="false">IF(AQ233="7",BI233,0)</f>
        <v>0</v>
      </c>
      <c r="AF233" s="33" t="n">
        <f aca="false">IF(AQ233="2",BH233,0)</f>
        <v>0</v>
      </c>
      <c r="AG233" s="33" t="n">
        <f aca="false">IF(AQ233="2",BI233,0)</f>
        <v>0</v>
      </c>
      <c r="AH233" s="33" t="n">
        <f aca="false">IF(AQ233="0",BJ233,0)</f>
        <v>0</v>
      </c>
      <c r="AI233" s="18"/>
      <c r="AJ233" s="33" t="n">
        <f aca="false">IF(AN233=0,J233,0)</f>
        <v>0</v>
      </c>
      <c r="AK233" s="33" t="n">
        <f aca="false">IF(AN233=12,J233,0)</f>
        <v>0</v>
      </c>
      <c r="AL233" s="33" t="n">
        <f aca="false">IF(AN233=21,J233,0)</f>
        <v>0</v>
      </c>
      <c r="AN233" s="33" t="n">
        <v>12</v>
      </c>
      <c r="AO233" s="33" t="n">
        <f aca="false">G233*0.756593146</f>
        <v>0</v>
      </c>
      <c r="AP233" s="33" t="n">
        <f aca="false">G233*(1-0.756593146)</f>
        <v>0</v>
      </c>
      <c r="AQ233" s="35" t="s">
        <v>80</v>
      </c>
      <c r="AV233" s="33" t="n">
        <f aca="false">AW233+AX233</f>
        <v>0</v>
      </c>
      <c r="AW233" s="33" t="n">
        <f aca="false">F233*AO233</f>
        <v>0</v>
      </c>
      <c r="AX233" s="33" t="n">
        <f aca="false">F233*AP233</f>
        <v>0</v>
      </c>
      <c r="AY233" s="35" t="s">
        <v>481</v>
      </c>
      <c r="AZ233" s="35" t="s">
        <v>465</v>
      </c>
      <c r="BA233" s="18" t="s">
        <v>57</v>
      </c>
      <c r="BC233" s="33" t="n">
        <f aca="false">AW233+AX233</f>
        <v>0</v>
      </c>
      <c r="BD233" s="33" t="n">
        <f aca="false">G233/(100-BE233)*100</f>
        <v>0</v>
      </c>
      <c r="BE233" s="33" t="n">
        <v>0</v>
      </c>
      <c r="BF233" s="33" t="n">
        <f aca="false">232</f>
        <v>232</v>
      </c>
      <c r="BH233" s="33" t="n">
        <f aca="false">F233*AO233</f>
        <v>0</v>
      </c>
      <c r="BI233" s="33" t="n">
        <f aca="false">F233*AP233</f>
        <v>0</v>
      </c>
      <c r="BJ233" s="33" t="n">
        <f aca="false">F233*G233</f>
        <v>0</v>
      </c>
      <c r="BK233" s="33"/>
      <c r="BL233" s="33" t="n">
        <v>728</v>
      </c>
      <c r="BW233" s="33" t="n">
        <v>12</v>
      </c>
      <c r="BX233" s="9" t="s">
        <v>480</v>
      </c>
    </row>
    <row r="234" customFormat="false" ht="15" hidden="false" customHeight="false" outlineLevel="0" collapsed="false">
      <c r="A234" s="36"/>
      <c r="C234" s="37" t="s">
        <v>482</v>
      </c>
      <c r="D234" s="37" t="s">
        <v>483</v>
      </c>
      <c r="F234" s="38" t="n">
        <v>4.8</v>
      </c>
      <c r="K234" s="39"/>
    </row>
    <row r="235" customFormat="false" ht="15" hidden="false" customHeight="false" outlineLevel="0" collapsed="false">
      <c r="A235" s="36"/>
      <c r="C235" s="37" t="s">
        <v>484</v>
      </c>
      <c r="D235" s="37" t="s">
        <v>485</v>
      </c>
      <c r="F235" s="38" t="n">
        <v>7.1875</v>
      </c>
      <c r="K235" s="39"/>
    </row>
    <row r="236" customFormat="false" ht="15" hidden="false" customHeight="true" outlineLevel="0" collapsed="false">
      <c r="A236" s="32" t="s">
        <v>486</v>
      </c>
      <c r="B236" s="10" t="s">
        <v>487</v>
      </c>
      <c r="C236" s="9" t="s">
        <v>488</v>
      </c>
      <c r="D236" s="9"/>
      <c r="E236" s="10" t="s">
        <v>91</v>
      </c>
      <c r="F236" s="33" t="n">
        <v>20</v>
      </c>
      <c r="G236" s="33" t="n">
        <v>0</v>
      </c>
      <c r="H236" s="33" t="n">
        <f aca="false">F236*AO236</f>
        <v>0</v>
      </c>
      <c r="I236" s="33" t="n">
        <f aca="false">F236*AP236</f>
        <v>0</v>
      </c>
      <c r="J236" s="33" t="n">
        <f aca="false">F236*G236</f>
        <v>0</v>
      </c>
      <c r="K236" s="34" t="s">
        <v>55</v>
      </c>
      <c r="Z236" s="33" t="n">
        <f aca="false">IF(AQ236="5",BJ236,0)</f>
        <v>0</v>
      </c>
      <c r="AB236" s="33" t="n">
        <f aca="false">IF(AQ236="1",BH236,0)</f>
        <v>0</v>
      </c>
      <c r="AC236" s="33" t="n">
        <f aca="false">IF(AQ236="1",BI236,0)</f>
        <v>0</v>
      </c>
      <c r="AD236" s="33" t="n">
        <f aca="false">IF(AQ236="7",BH236,0)</f>
        <v>0</v>
      </c>
      <c r="AE236" s="33" t="n">
        <f aca="false">IF(AQ236="7",BI236,0)</f>
        <v>0</v>
      </c>
      <c r="AF236" s="33" t="n">
        <f aca="false">IF(AQ236="2",BH236,0)</f>
        <v>0</v>
      </c>
      <c r="AG236" s="33" t="n">
        <f aca="false">IF(AQ236="2",BI236,0)</f>
        <v>0</v>
      </c>
      <c r="AH236" s="33" t="n">
        <f aca="false">IF(AQ236="0",BJ236,0)</f>
        <v>0</v>
      </c>
      <c r="AI236" s="18"/>
      <c r="AJ236" s="33" t="n">
        <f aca="false">IF(AN236=0,J236,0)</f>
        <v>0</v>
      </c>
      <c r="AK236" s="33" t="n">
        <f aca="false">IF(AN236=12,J236,0)</f>
        <v>0</v>
      </c>
      <c r="AL236" s="33" t="n">
        <f aca="false">IF(AN236=21,J236,0)</f>
        <v>0</v>
      </c>
      <c r="AN236" s="33" t="n">
        <v>12</v>
      </c>
      <c r="AO236" s="33" t="n">
        <f aca="false">G236*0.012222222</f>
        <v>0</v>
      </c>
      <c r="AP236" s="33" t="n">
        <f aca="false">G236*(1-0.012222222)</f>
        <v>0</v>
      </c>
      <c r="AQ236" s="35" t="s">
        <v>80</v>
      </c>
      <c r="AV236" s="33" t="n">
        <f aca="false">AW236+AX236</f>
        <v>0</v>
      </c>
      <c r="AW236" s="33" t="n">
        <f aca="false">F236*AO236</f>
        <v>0</v>
      </c>
      <c r="AX236" s="33" t="n">
        <f aca="false">F236*AP236</f>
        <v>0</v>
      </c>
      <c r="AY236" s="35" t="s">
        <v>481</v>
      </c>
      <c r="AZ236" s="35" t="s">
        <v>465</v>
      </c>
      <c r="BA236" s="18" t="s">
        <v>57</v>
      </c>
      <c r="BC236" s="33" t="n">
        <f aca="false">AW236+AX236</f>
        <v>0</v>
      </c>
      <c r="BD236" s="33" t="n">
        <f aca="false">G236/(100-BE236)*100</f>
        <v>0</v>
      </c>
      <c r="BE236" s="33" t="n">
        <v>0</v>
      </c>
      <c r="BF236" s="33" t="n">
        <f aca="false">235</f>
        <v>235</v>
      </c>
      <c r="BH236" s="33" t="n">
        <f aca="false">F236*AO236</f>
        <v>0</v>
      </c>
      <c r="BI236" s="33" t="n">
        <f aca="false">F236*AP236</f>
        <v>0</v>
      </c>
      <c r="BJ236" s="33" t="n">
        <f aca="false">F236*G236</f>
        <v>0</v>
      </c>
      <c r="BK236" s="33"/>
      <c r="BL236" s="33" t="n">
        <v>728</v>
      </c>
      <c r="BW236" s="33" t="n">
        <v>12</v>
      </c>
      <c r="BX236" s="9" t="s">
        <v>488</v>
      </c>
    </row>
    <row r="237" customFormat="false" ht="15" hidden="false" customHeight="false" outlineLevel="0" collapsed="false">
      <c r="A237" s="36"/>
      <c r="C237" s="37" t="s">
        <v>489</v>
      </c>
      <c r="D237" s="37" t="s">
        <v>490</v>
      </c>
      <c r="F237" s="38" t="n">
        <v>20</v>
      </c>
      <c r="K237" s="39"/>
    </row>
    <row r="238" customFormat="false" ht="15" hidden="false" customHeight="true" outlineLevel="0" collapsed="false">
      <c r="A238" s="32" t="s">
        <v>491</v>
      </c>
      <c r="B238" s="10" t="s">
        <v>492</v>
      </c>
      <c r="C238" s="9" t="s">
        <v>493</v>
      </c>
      <c r="D238" s="9"/>
      <c r="E238" s="10" t="s">
        <v>163</v>
      </c>
      <c r="F238" s="33" t="n">
        <v>40</v>
      </c>
      <c r="G238" s="33" t="n">
        <v>0</v>
      </c>
      <c r="H238" s="33" t="n">
        <f aca="false">F238*AO238</f>
        <v>0</v>
      </c>
      <c r="I238" s="33" t="n">
        <f aca="false">F238*AP238</f>
        <v>0</v>
      </c>
      <c r="J238" s="33" t="n">
        <f aca="false">F238*G238</f>
        <v>0</v>
      </c>
      <c r="K238" s="34" t="s">
        <v>55</v>
      </c>
      <c r="Z238" s="33" t="n">
        <f aca="false">IF(AQ238="5",BJ238,0)</f>
        <v>0</v>
      </c>
      <c r="AB238" s="33" t="n">
        <f aca="false">IF(AQ238="1",BH238,0)</f>
        <v>0</v>
      </c>
      <c r="AC238" s="33" t="n">
        <f aca="false">IF(AQ238="1",BI238,0)</f>
        <v>0</v>
      </c>
      <c r="AD238" s="33" t="n">
        <f aca="false">IF(AQ238="7",BH238,0)</f>
        <v>0</v>
      </c>
      <c r="AE238" s="33" t="n">
        <f aca="false">IF(AQ238="7",BI238,0)</f>
        <v>0</v>
      </c>
      <c r="AF238" s="33" t="n">
        <f aca="false">IF(AQ238="2",BH238,0)</f>
        <v>0</v>
      </c>
      <c r="AG238" s="33" t="n">
        <f aca="false">IF(AQ238="2",BI238,0)</f>
        <v>0</v>
      </c>
      <c r="AH238" s="33" t="n">
        <f aca="false">IF(AQ238="0",BJ238,0)</f>
        <v>0</v>
      </c>
      <c r="AI238" s="18"/>
      <c r="AJ238" s="33" t="n">
        <f aca="false">IF(AN238=0,J238,0)</f>
        <v>0</v>
      </c>
      <c r="AK238" s="33" t="n">
        <f aca="false">IF(AN238=12,J238,0)</f>
        <v>0</v>
      </c>
      <c r="AL238" s="33" t="n">
        <f aca="false">IF(AN238=21,J238,0)</f>
        <v>0</v>
      </c>
      <c r="AN238" s="33" t="n">
        <v>12</v>
      </c>
      <c r="AO238" s="33" t="n">
        <f aca="false">G238*1</f>
        <v>0</v>
      </c>
      <c r="AP238" s="33" t="n">
        <f aca="false">G238*(1-1)</f>
        <v>0</v>
      </c>
      <c r="AQ238" s="35" t="s">
        <v>80</v>
      </c>
      <c r="AV238" s="33" t="n">
        <f aca="false">AW238+AX238</f>
        <v>0</v>
      </c>
      <c r="AW238" s="33" t="n">
        <f aca="false">F238*AO238</f>
        <v>0</v>
      </c>
      <c r="AX238" s="33" t="n">
        <f aca="false">F238*AP238</f>
        <v>0</v>
      </c>
      <c r="AY238" s="35" t="s">
        <v>481</v>
      </c>
      <c r="AZ238" s="35" t="s">
        <v>465</v>
      </c>
      <c r="BA238" s="18" t="s">
        <v>57</v>
      </c>
      <c r="BC238" s="33" t="n">
        <f aca="false">AW238+AX238</f>
        <v>0</v>
      </c>
      <c r="BD238" s="33" t="n">
        <f aca="false">G238/(100-BE238)*100</f>
        <v>0</v>
      </c>
      <c r="BE238" s="33" t="n">
        <v>0</v>
      </c>
      <c r="BF238" s="33" t="n">
        <f aca="false">237</f>
        <v>237</v>
      </c>
      <c r="BH238" s="33" t="n">
        <f aca="false">F238*AO238</f>
        <v>0</v>
      </c>
      <c r="BI238" s="33" t="n">
        <f aca="false">F238*AP238</f>
        <v>0</v>
      </c>
      <c r="BJ238" s="33" t="n">
        <f aca="false">F238*G238</f>
        <v>0</v>
      </c>
      <c r="BK238" s="33"/>
      <c r="BL238" s="33" t="n">
        <v>728</v>
      </c>
      <c r="BW238" s="33" t="n">
        <v>12</v>
      </c>
      <c r="BX238" s="9" t="s">
        <v>493</v>
      </c>
    </row>
    <row r="239" customFormat="false" ht="15" hidden="false" customHeight="false" outlineLevel="0" collapsed="false">
      <c r="A239" s="36"/>
      <c r="C239" s="37" t="s">
        <v>494</v>
      </c>
      <c r="D239" s="37"/>
      <c r="F239" s="38" t="n">
        <v>40</v>
      </c>
      <c r="K239" s="39"/>
    </row>
    <row r="240" customFormat="false" ht="15" hidden="false" customHeight="true" outlineLevel="0" collapsed="false">
      <c r="A240" s="32" t="s">
        <v>495</v>
      </c>
      <c r="B240" s="10" t="s">
        <v>496</v>
      </c>
      <c r="C240" s="9" t="s">
        <v>497</v>
      </c>
      <c r="D240" s="9"/>
      <c r="E240" s="10" t="s">
        <v>83</v>
      </c>
      <c r="F240" s="33" t="n">
        <v>10</v>
      </c>
      <c r="G240" s="33" t="n">
        <v>0</v>
      </c>
      <c r="H240" s="33" t="n">
        <f aca="false">F240*AO240</f>
        <v>0</v>
      </c>
      <c r="I240" s="33" t="n">
        <f aca="false">F240*AP240</f>
        <v>0</v>
      </c>
      <c r="J240" s="33" t="n">
        <f aca="false">F240*G240</f>
        <v>0</v>
      </c>
      <c r="K240" s="34" t="s">
        <v>55</v>
      </c>
      <c r="Z240" s="33" t="n">
        <f aca="false">IF(AQ240="5",BJ240,0)</f>
        <v>0</v>
      </c>
      <c r="AB240" s="33" t="n">
        <f aca="false">IF(AQ240="1",BH240,0)</f>
        <v>0</v>
      </c>
      <c r="AC240" s="33" t="n">
        <f aca="false">IF(AQ240="1",BI240,0)</f>
        <v>0</v>
      </c>
      <c r="AD240" s="33" t="n">
        <f aca="false">IF(AQ240="7",BH240,0)</f>
        <v>0</v>
      </c>
      <c r="AE240" s="33" t="n">
        <f aca="false">IF(AQ240="7",BI240,0)</f>
        <v>0</v>
      </c>
      <c r="AF240" s="33" t="n">
        <f aca="false">IF(AQ240="2",BH240,0)</f>
        <v>0</v>
      </c>
      <c r="AG240" s="33" t="n">
        <f aca="false">IF(AQ240="2",BI240,0)</f>
        <v>0</v>
      </c>
      <c r="AH240" s="33" t="n">
        <f aca="false">IF(AQ240="0",BJ240,0)</f>
        <v>0</v>
      </c>
      <c r="AI240" s="18"/>
      <c r="AJ240" s="33" t="n">
        <f aca="false">IF(AN240=0,J240,0)</f>
        <v>0</v>
      </c>
      <c r="AK240" s="33" t="n">
        <f aca="false">IF(AN240=12,J240,0)</f>
        <v>0</v>
      </c>
      <c r="AL240" s="33" t="n">
        <f aca="false">IF(AN240=21,J240,0)</f>
        <v>0</v>
      </c>
      <c r="AN240" s="33" t="n">
        <v>12</v>
      </c>
      <c r="AO240" s="33" t="n">
        <f aca="false">G240*0.303726983</f>
        <v>0</v>
      </c>
      <c r="AP240" s="33" t="n">
        <f aca="false">G240*(1-0.303726983)</f>
        <v>0</v>
      </c>
      <c r="AQ240" s="35" t="s">
        <v>80</v>
      </c>
      <c r="AV240" s="33" t="n">
        <f aca="false">AW240+AX240</f>
        <v>0</v>
      </c>
      <c r="AW240" s="33" t="n">
        <f aca="false">F240*AO240</f>
        <v>0</v>
      </c>
      <c r="AX240" s="33" t="n">
        <f aca="false">F240*AP240</f>
        <v>0</v>
      </c>
      <c r="AY240" s="35" t="s">
        <v>481</v>
      </c>
      <c r="AZ240" s="35" t="s">
        <v>465</v>
      </c>
      <c r="BA240" s="18" t="s">
        <v>57</v>
      </c>
      <c r="BC240" s="33" t="n">
        <f aca="false">AW240+AX240</f>
        <v>0</v>
      </c>
      <c r="BD240" s="33" t="n">
        <f aca="false">G240/(100-BE240)*100</f>
        <v>0</v>
      </c>
      <c r="BE240" s="33" t="n">
        <v>0</v>
      </c>
      <c r="BF240" s="33" t="n">
        <f aca="false">239</f>
        <v>239</v>
      </c>
      <c r="BH240" s="33" t="n">
        <f aca="false">F240*AO240</f>
        <v>0</v>
      </c>
      <c r="BI240" s="33" t="n">
        <f aca="false">F240*AP240</f>
        <v>0</v>
      </c>
      <c r="BJ240" s="33" t="n">
        <f aca="false">F240*G240</f>
        <v>0</v>
      </c>
      <c r="BK240" s="33"/>
      <c r="BL240" s="33" t="n">
        <v>728</v>
      </c>
      <c r="BW240" s="33" t="n">
        <v>12</v>
      </c>
      <c r="BX240" s="9" t="s">
        <v>498</v>
      </c>
    </row>
    <row r="241" customFormat="false" ht="15" hidden="false" customHeight="false" outlineLevel="0" collapsed="false">
      <c r="A241" s="36"/>
      <c r="C241" s="37" t="s">
        <v>499</v>
      </c>
      <c r="D241" s="37" t="s">
        <v>500</v>
      </c>
      <c r="F241" s="38" t="n">
        <v>10</v>
      </c>
      <c r="K241" s="39"/>
    </row>
    <row r="242" customFormat="false" ht="15" hidden="false" customHeight="true" outlineLevel="0" collapsed="false">
      <c r="A242" s="32" t="s">
        <v>501</v>
      </c>
      <c r="B242" s="10" t="s">
        <v>502</v>
      </c>
      <c r="C242" s="9" t="s">
        <v>503</v>
      </c>
      <c r="D242" s="9"/>
      <c r="E242" s="10" t="s">
        <v>83</v>
      </c>
      <c r="F242" s="33" t="n">
        <v>5.5125</v>
      </c>
      <c r="G242" s="33" t="n">
        <v>0</v>
      </c>
      <c r="H242" s="33" t="n">
        <f aca="false">F242*AO242</f>
        <v>0</v>
      </c>
      <c r="I242" s="33" t="n">
        <f aca="false">F242*AP242</f>
        <v>0</v>
      </c>
      <c r="J242" s="33" t="n">
        <f aca="false">F242*G242</f>
        <v>0</v>
      </c>
      <c r="K242" s="34" t="s">
        <v>55</v>
      </c>
      <c r="Z242" s="33" t="n">
        <f aca="false">IF(AQ242="5",BJ242,0)</f>
        <v>0</v>
      </c>
      <c r="AB242" s="33" t="n">
        <f aca="false">IF(AQ242="1",BH242,0)</f>
        <v>0</v>
      </c>
      <c r="AC242" s="33" t="n">
        <f aca="false">IF(AQ242="1",BI242,0)</f>
        <v>0</v>
      </c>
      <c r="AD242" s="33" t="n">
        <f aca="false">IF(AQ242="7",BH242,0)</f>
        <v>0</v>
      </c>
      <c r="AE242" s="33" t="n">
        <f aca="false">IF(AQ242="7",BI242,0)</f>
        <v>0</v>
      </c>
      <c r="AF242" s="33" t="n">
        <f aca="false">IF(AQ242="2",BH242,0)</f>
        <v>0</v>
      </c>
      <c r="AG242" s="33" t="n">
        <f aca="false">IF(AQ242="2",BI242,0)</f>
        <v>0</v>
      </c>
      <c r="AH242" s="33" t="n">
        <f aca="false">IF(AQ242="0",BJ242,0)</f>
        <v>0</v>
      </c>
      <c r="AI242" s="18"/>
      <c r="AJ242" s="33" t="n">
        <f aca="false">IF(AN242=0,J242,0)</f>
        <v>0</v>
      </c>
      <c r="AK242" s="33" t="n">
        <f aca="false">IF(AN242=12,J242,0)</f>
        <v>0</v>
      </c>
      <c r="AL242" s="33" t="n">
        <f aca="false">IF(AN242=21,J242,0)</f>
        <v>0</v>
      </c>
      <c r="AN242" s="33" t="n">
        <v>12</v>
      </c>
      <c r="AO242" s="33" t="n">
        <f aca="false">G242*0.656754946</f>
        <v>0</v>
      </c>
      <c r="AP242" s="33" t="n">
        <f aca="false">G242*(1-0.656754946)</f>
        <v>0</v>
      </c>
      <c r="AQ242" s="35" t="s">
        <v>80</v>
      </c>
      <c r="AV242" s="33" t="n">
        <f aca="false">AW242+AX242</f>
        <v>0</v>
      </c>
      <c r="AW242" s="33" t="n">
        <f aca="false">F242*AO242</f>
        <v>0</v>
      </c>
      <c r="AX242" s="33" t="n">
        <f aca="false">F242*AP242</f>
        <v>0</v>
      </c>
      <c r="AY242" s="35" t="s">
        <v>481</v>
      </c>
      <c r="AZ242" s="35" t="s">
        <v>465</v>
      </c>
      <c r="BA242" s="18" t="s">
        <v>57</v>
      </c>
      <c r="BC242" s="33" t="n">
        <f aca="false">AW242+AX242</f>
        <v>0</v>
      </c>
      <c r="BD242" s="33" t="n">
        <f aca="false">G242/(100-BE242)*100</f>
        <v>0</v>
      </c>
      <c r="BE242" s="33" t="n">
        <v>0</v>
      </c>
      <c r="BF242" s="33" t="n">
        <f aca="false">241</f>
        <v>241</v>
      </c>
      <c r="BH242" s="33" t="n">
        <f aca="false">F242*AO242</f>
        <v>0</v>
      </c>
      <c r="BI242" s="33" t="n">
        <f aca="false">F242*AP242</f>
        <v>0</v>
      </c>
      <c r="BJ242" s="33" t="n">
        <f aca="false">F242*G242</f>
        <v>0</v>
      </c>
      <c r="BK242" s="33"/>
      <c r="BL242" s="33" t="n">
        <v>728</v>
      </c>
      <c r="BW242" s="33" t="n">
        <v>12</v>
      </c>
      <c r="BX242" s="9" t="s">
        <v>503</v>
      </c>
    </row>
    <row r="243" customFormat="false" ht="15" hidden="false" customHeight="false" outlineLevel="0" collapsed="false">
      <c r="A243" s="36"/>
      <c r="C243" s="37" t="s">
        <v>504</v>
      </c>
      <c r="D243" s="37" t="s">
        <v>500</v>
      </c>
      <c r="F243" s="38" t="n">
        <v>5.5125</v>
      </c>
      <c r="K243" s="39"/>
    </row>
    <row r="244" customFormat="false" ht="15" hidden="false" customHeight="true" outlineLevel="0" collapsed="false">
      <c r="A244" s="32" t="s">
        <v>505</v>
      </c>
      <c r="B244" s="10" t="s">
        <v>506</v>
      </c>
      <c r="C244" s="9" t="s">
        <v>507</v>
      </c>
      <c r="D244" s="9"/>
      <c r="E244" s="10" t="s">
        <v>91</v>
      </c>
      <c r="F244" s="33" t="n">
        <v>28</v>
      </c>
      <c r="G244" s="33" t="n">
        <v>0</v>
      </c>
      <c r="H244" s="33" t="n">
        <f aca="false">F244*AO244</f>
        <v>0</v>
      </c>
      <c r="I244" s="33" t="n">
        <f aca="false">F244*AP244</f>
        <v>0</v>
      </c>
      <c r="J244" s="33" t="n">
        <f aca="false">F244*G244</f>
        <v>0</v>
      </c>
      <c r="K244" s="34" t="s">
        <v>55</v>
      </c>
      <c r="Z244" s="33" t="n">
        <f aca="false">IF(AQ244="5",BJ244,0)</f>
        <v>0</v>
      </c>
      <c r="AB244" s="33" t="n">
        <f aca="false">IF(AQ244="1",BH244,0)</f>
        <v>0</v>
      </c>
      <c r="AC244" s="33" t="n">
        <f aca="false">IF(AQ244="1",BI244,0)</f>
        <v>0</v>
      </c>
      <c r="AD244" s="33" t="n">
        <f aca="false">IF(AQ244="7",BH244,0)</f>
        <v>0</v>
      </c>
      <c r="AE244" s="33" t="n">
        <f aca="false">IF(AQ244="7",BI244,0)</f>
        <v>0</v>
      </c>
      <c r="AF244" s="33" t="n">
        <f aca="false">IF(AQ244="2",BH244,0)</f>
        <v>0</v>
      </c>
      <c r="AG244" s="33" t="n">
        <f aca="false">IF(AQ244="2",BI244,0)</f>
        <v>0</v>
      </c>
      <c r="AH244" s="33" t="n">
        <f aca="false">IF(AQ244="0",BJ244,0)</f>
        <v>0</v>
      </c>
      <c r="AI244" s="18"/>
      <c r="AJ244" s="33" t="n">
        <f aca="false">IF(AN244=0,J244,0)</f>
        <v>0</v>
      </c>
      <c r="AK244" s="33" t="n">
        <f aca="false">IF(AN244=12,J244,0)</f>
        <v>0</v>
      </c>
      <c r="AL244" s="33" t="n">
        <f aca="false">IF(AN244=21,J244,0)</f>
        <v>0</v>
      </c>
      <c r="AN244" s="33" t="n">
        <v>12</v>
      </c>
      <c r="AO244" s="33" t="n">
        <f aca="false">G244*0.06354717</f>
        <v>0</v>
      </c>
      <c r="AP244" s="33" t="n">
        <f aca="false">G244*(1-0.06354717)</f>
        <v>0</v>
      </c>
      <c r="AQ244" s="35" t="s">
        <v>80</v>
      </c>
      <c r="AV244" s="33" t="n">
        <f aca="false">AW244+AX244</f>
        <v>0</v>
      </c>
      <c r="AW244" s="33" t="n">
        <f aca="false">F244*AO244</f>
        <v>0</v>
      </c>
      <c r="AX244" s="33" t="n">
        <f aca="false">F244*AP244</f>
        <v>0</v>
      </c>
      <c r="AY244" s="35" t="s">
        <v>481</v>
      </c>
      <c r="AZ244" s="35" t="s">
        <v>465</v>
      </c>
      <c r="BA244" s="18" t="s">
        <v>57</v>
      </c>
      <c r="BC244" s="33" t="n">
        <f aca="false">AW244+AX244</f>
        <v>0</v>
      </c>
      <c r="BD244" s="33" t="n">
        <f aca="false">G244/(100-BE244)*100</f>
        <v>0</v>
      </c>
      <c r="BE244" s="33" t="n">
        <v>0</v>
      </c>
      <c r="BF244" s="33" t="n">
        <f aca="false">243</f>
        <v>243</v>
      </c>
      <c r="BH244" s="33" t="n">
        <f aca="false">F244*AO244</f>
        <v>0</v>
      </c>
      <c r="BI244" s="33" t="n">
        <f aca="false">F244*AP244</f>
        <v>0</v>
      </c>
      <c r="BJ244" s="33" t="n">
        <f aca="false">F244*G244</f>
        <v>0</v>
      </c>
      <c r="BK244" s="33"/>
      <c r="BL244" s="33" t="n">
        <v>728</v>
      </c>
      <c r="BW244" s="33" t="n">
        <v>12</v>
      </c>
      <c r="BX244" s="9" t="s">
        <v>507</v>
      </c>
    </row>
    <row r="245" customFormat="false" ht="15" hidden="false" customHeight="false" outlineLevel="0" collapsed="false">
      <c r="A245" s="36"/>
      <c r="C245" s="37" t="s">
        <v>508</v>
      </c>
      <c r="D245" s="37" t="s">
        <v>509</v>
      </c>
      <c r="F245" s="38" t="n">
        <v>28</v>
      </c>
      <c r="K245" s="39"/>
    </row>
    <row r="246" customFormat="false" ht="15" hidden="false" customHeight="true" outlineLevel="0" collapsed="false">
      <c r="A246" s="32" t="s">
        <v>510</v>
      </c>
      <c r="B246" s="10" t="s">
        <v>511</v>
      </c>
      <c r="C246" s="9" t="s">
        <v>512</v>
      </c>
      <c r="D246" s="9"/>
      <c r="E246" s="10" t="s">
        <v>83</v>
      </c>
      <c r="F246" s="33" t="n">
        <v>6.0375</v>
      </c>
      <c r="G246" s="33" t="n">
        <v>0</v>
      </c>
      <c r="H246" s="33" t="n">
        <f aca="false">F246*AO246</f>
        <v>0</v>
      </c>
      <c r="I246" s="33" t="n">
        <f aca="false">F246*AP246</f>
        <v>0</v>
      </c>
      <c r="J246" s="33" t="n">
        <f aca="false">F246*G246</f>
        <v>0</v>
      </c>
      <c r="K246" s="34" t="s">
        <v>55</v>
      </c>
      <c r="Z246" s="33" t="n">
        <f aca="false">IF(AQ246="5",BJ246,0)</f>
        <v>0</v>
      </c>
      <c r="AB246" s="33" t="n">
        <f aca="false">IF(AQ246="1",BH246,0)</f>
        <v>0</v>
      </c>
      <c r="AC246" s="33" t="n">
        <f aca="false">IF(AQ246="1",BI246,0)</f>
        <v>0</v>
      </c>
      <c r="AD246" s="33" t="n">
        <f aca="false">IF(AQ246="7",BH246,0)</f>
        <v>0</v>
      </c>
      <c r="AE246" s="33" t="n">
        <f aca="false">IF(AQ246="7",BI246,0)</f>
        <v>0</v>
      </c>
      <c r="AF246" s="33" t="n">
        <f aca="false">IF(AQ246="2",BH246,0)</f>
        <v>0</v>
      </c>
      <c r="AG246" s="33" t="n">
        <f aca="false">IF(AQ246="2",BI246,0)</f>
        <v>0</v>
      </c>
      <c r="AH246" s="33" t="n">
        <f aca="false">IF(AQ246="0",BJ246,0)</f>
        <v>0</v>
      </c>
      <c r="AI246" s="18"/>
      <c r="AJ246" s="33" t="n">
        <f aca="false">IF(AN246=0,J246,0)</f>
        <v>0</v>
      </c>
      <c r="AK246" s="33" t="n">
        <f aca="false">IF(AN246=12,J246,0)</f>
        <v>0</v>
      </c>
      <c r="AL246" s="33" t="n">
        <f aca="false">IF(AN246=21,J246,0)</f>
        <v>0</v>
      </c>
      <c r="AN246" s="33" t="n">
        <v>12</v>
      </c>
      <c r="AO246" s="33" t="n">
        <f aca="false">G246*0.132060225</f>
        <v>0</v>
      </c>
      <c r="AP246" s="33" t="n">
        <f aca="false">G246*(1-0.132060225)</f>
        <v>0</v>
      </c>
      <c r="AQ246" s="35" t="s">
        <v>80</v>
      </c>
      <c r="AV246" s="33" t="n">
        <f aca="false">AW246+AX246</f>
        <v>0</v>
      </c>
      <c r="AW246" s="33" t="n">
        <f aca="false">F246*AO246</f>
        <v>0</v>
      </c>
      <c r="AX246" s="33" t="n">
        <f aca="false">F246*AP246</f>
        <v>0</v>
      </c>
      <c r="AY246" s="35" t="s">
        <v>481</v>
      </c>
      <c r="AZ246" s="35" t="s">
        <v>465</v>
      </c>
      <c r="BA246" s="18" t="s">
        <v>57</v>
      </c>
      <c r="BC246" s="33" t="n">
        <f aca="false">AW246+AX246</f>
        <v>0</v>
      </c>
      <c r="BD246" s="33" t="n">
        <f aca="false">G246/(100-BE246)*100</f>
        <v>0</v>
      </c>
      <c r="BE246" s="33" t="n">
        <v>0</v>
      </c>
      <c r="BF246" s="33" t="n">
        <f aca="false">245</f>
        <v>245</v>
      </c>
      <c r="BH246" s="33" t="n">
        <f aca="false">F246*AO246</f>
        <v>0</v>
      </c>
      <c r="BI246" s="33" t="n">
        <f aca="false">F246*AP246</f>
        <v>0</v>
      </c>
      <c r="BJ246" s="33" t="n">
        <f aca="false">F246*G246</f>
        <v>0</v>
      </c>
      <c r="BK246" s="33"/>
      <c r="BL246" s="33" t="n">
        <v>728</v>
      </c>
      <c r="BW246" s="33" t="n">
        <v>12</v>
      </c>
      <c r="BX246" s="9" t="s">
        <v>512</v>
      </c>
    </row>
    <row r="247" customFormat="false" ht="15" hidden="false" customHeight="false" outlineLevel="0" collapsed="false">
      <c r="A247" s="36"/>
      <c r="C247" s="37" t="s">
        <v>513</v>
      </c>
      <c r="D247" s="37"/>
      <c r="F247" s="38" t="n">
        <v>6.0375</v>
      </c>
      <c r="K247" s="39"/>
    </row>
    <row r="248" customFormat="false" ht="15" hidden="false" customHeight="true" outlineLevel="0" collapsed="false">
      <c r="A248" s="32" t="s">
        <v>514</v>
      </c>
      <c r="B248" s="10" t="s">
        <v>515</v>
      </c>
      <c r="C248" s="9" t="s">
        <v>516</v>
      </c>
      <c r="D248" s="9"/>
      <c r="E248" s="10" t="s">
        <v>83</v>
      </c>
      <c r="F248" s="33" t="n">
        <v>9.9</v>
      </c>
      <c r="G248" s="33" t="n">
        <v>0</v>
      </c>
      <c r="H248" s="33" t="n">
        <f aca="false">F248*AO248</f>
        <v>0</v>
      </c>
      <c r="I248" s="33" t="n">
        <f aca="false">F248*AP248</f>
        <v>0</v>
      </c>
      <c r="J248" s="33" t="n">
        <f aca="false">F248*G248</f>
        <v>0</v>
      </c>
      <c r="K248" s="34" t="s">
        <v>55</v>
      </c>
      <c r="Z248" s="33" t="n">
        <f aca="false">IF(AQ248="5",BJ248,0)</f>
        <v>0</v>
      </c>
      <c r="AB248" s="33" t="n">
        <f aca="false">IF(AQ248="1",BH248,0)</f>
        <v>0</v>
      </c>
      <c r="AC248" s="33" t="n">
        <f aca="false">IF(AQ248="1",BI248,0)</f>
        <v>0</v>
      </c>
      <c r="AD248" s="33" t="n">
        <f aca="false">IF(AQ248="7",BH248,0)</f>
        <v>0</v>
      </c>
      <c r="AE248" s="33" t="n">
        <f aca="false">IF(AQ248="7",BI248,0)</f>
        <v>0</v>
      </c>
      <c r="AF248" s="33" t="n">
        <f aca="false">IF(AQ248="2",BH248,0)</f>
        <v>0</v>
      </c>
      <c r="AG248" s="33" t="n">
        <f aca="false">IF(AQ248="2",BI248,0)</f>
        <v>0</v>
      </c>
      <c r="AH248" s="33" t="n">
        <f aca="false">IF(AQ248="0",BJ248,0)</f>
        <v>0</v>
      </c>
      <c r="AI248" s="18"/>
      <c r="AJ248" s="33" t="n">
        <f aca="false">IF(AN248=0,J248,0)</f>
        <v>0</v>
      </c>
      <c r="AK248" s="33" t="n">
        <f aca="false">IF(AN248=12,J248,0)</f>
        <v>0</v>
      </c>
      <c r="AL248" s="33" t="n">
        <f aca="false">IF(AN248=21,J248,0)</f>
        <v>0</v>
      </c>
      <c r="AN248" s="33" t="n">
        <v>12</v>
      </c>
      <c r="AO248" s="33" t="n">
        <f aca="false">G248*0.675510136</f>
        <v>0</v>
      </c>
      <c r="AP248" s="33" t="n">
        <f aca="false">G248*(1-0.675510136)</f>
        <v>0</v>
      </c>
      <c r="AQ248" s="35" t="s">
        <v>80</v>
      </c>
      <c r="AV248" s="33" t="n">
        <f aca="false">AW248+AX248</f>
        <v>0</v>
      </c>
      <c r="AW248" s="33" t="n">
        <f aca="false">F248*AO248</f>
        <v>0</v>
      </c>
      <c r="AX248" s="33" t="n">
        <f aca="false">F248*AP248</f>
        <v>0</v>
      </c>
      <c r="AY248" s="35" t="s">
        <v>481</v>
      </c>
      <c r="AZ248" s="35" t="s">
        <v>465</v>
      </c>
      <c r="BA248" s="18" t="s">
        <v>57</v>
      </c>
      <c r="BC248" s="33" t="n">
        <f aca="false">AW248+AX248</f>
        <v>0</v>
      </c>
      <c r="BD248" s="33" t="n">
        <f aca="false">G248/(100-BE248)*100</f>
        <v>0</v>
      </c>
      <c r="BE248" s="33" t="n">
        <v>0</v>
      </c>
      <c r="BF248" s="33" t="n">
        <f aca="false">247</f>
        <v>247</v>
      </c>
      <c r="BH248" s="33" t="n">
        <f aca="false">F248*AO248</f>
        <v>0</v>
      </c>
      <c r="BI248" s="33" t="n">
        <f aca="false">F248*AP248</f>
        <v>0</v>
      </c>
      <c r="BJ248" s="33" t="n">
        <f aca="false">F248*G248</f>
        <v>0</v>
      </c>
      <c r="BK248" s="33"/>
      <c r="BL248" s="33" t="n">
        <v>728</v>
      </c>
      <c r="BW248" s="33" t="n">
        <v>12</v>
      </c>
      <c r="BX248" s="9" t="s">
        <v>516</v>
      </c>
    </row>
    <row r="249" customFormat="false" ht="15" hidden="false" customHeight="false" outlineLevel="0" collapsed="false">
      <c r="A249" s="36"/>
      <c r="C249" s="37" t="s">
        <v>517</v>
      </c>
      <c r="D249" s="37"/>
      <c r="F249" s="38" t="n">
        <v>9.9</v>
      </c>
      <c r="K249" s="39"/>
    </row>
    <row r="250" customFormat="false" ht="15" hidden="false" customHeight="true" outlineLevel="0" collapsed="false">
      <c r="A250" s="32" t="s">
        <v>518</v>
      </c>
      <c r="B250" s="10" t="s">
        <v>519</v>
      </c>
      <c r="C250" s="9" t="s">
        <v>520</v>
      </c>
      <c r="D250" s="9"/>
      <c r="E250" s="10" t="s">
        <v>163</v>
      </c>
      <c r="F250" s="33" t="n">
        <v>5</v>
      </c>
      <c r="G250" s="33" t="n">
        <v>0</v>
      </c>
      <c r="H250" s="33" t="n">
        <f aca="false">F250*AO250</f>
        <v>0</v>
      </c>
      <c r="I250" s="33" t="n">
        <f aca="false">F250*AP250</f>
        <v>0</v>
      </c>
      <c r="J250" s="33" t="n">
        <f aca="false">F250*G250</f>
        <v>0</v>
      </c>
      <c r="K250" s="34" t="s">
        <v>55</v>
      </c>
      <c r="Z250" s="33" t="n">
        <f aca="false">IF(AQ250="5",BJ250,0)</f>
        <v>0</v>
      </c>
      <c r="AB250" s="33" t="n">
        <f aca="false">IF(AQ250="1",BH250,0)</f>
        <v>0</v>
      </c>
      <c r="AC250" s="33" t="n">
        <f aca="false">IF(AQ250="1",BI250,0)</f>
        <v>0</v>
      </c>
      <c r="AD250" s="33" t="n">
        <f aca="false">IF(AQ250="7",BH250,0)</f>
        <v>0</v>
      </c>
      <c r="AE250" s="33" t="n">
        <f aca="false">IF(AQ250="7",BI250,0)</f>
        <v>0</v>
      </c>
      <c r="AF250" s="33" t="n">
        <f aca="false">IF(AQ250="2",BH250,0)</f>
        <v>0</v>
      </c>
      <c r="AG250" s="33" t="n">
        <f aca="false">IF(AQ250="2",BI250,0)</f>
        <v>0</v>
      </c>
      <c r="AH250" s="33" t="n">
        <f aca="false">IF(AQ250="0",BJ250,0)</f>
        <v>0</v>
      </c>
      <c r="AI250" s="18"/>
      <c r="AJ250" s="33" t="n">
        <f aca="false">IF(AN250=0,J250,0)</f>
        <v>0</v>
      </c>
      <c r="AK250" s="33" t="n">
        <f aca="false">IF(AN250=12,J250,0)</f>
        <v>0</v>
      </c>
      <c r="AL250" s="33" t="n">
        <f aca="false">IF(AN250=21,J250,0)</f>
        <v>0</v>
      </c>
      <c r="AN250" s="33" t="n">
        <v>12</v>
      </c>
      <c r="AO250" s="33" t="n">
        <f aca="false">G250*0.907473498</f>
        <v>0</v>
      </c>
      <c r="AP250" s="33" t="n">
        <f aca="false">G250*(1-0.907473498)</f>
        <v>0</v>
      </c>
      <c r="AQ250" s="35" t="s">
        <v>80</v>
      </c>
      <c r="AV250" s="33" t="n">
        <f aca="false">AW250+AX250</f>
        <v>0</v>
      </c>
      <c r="AW250" s="33" t="n">
        <f aca="false">F250*AO250</f>
        <v>0</v>
      </c>
      <c r="AX250" s="33" t="n">
        <f aca="false">F250*AP250</f>
        <v>0</v>
      </c>
      <c r="AY250" s="35" t="s">
        <v>481</v>
      </c>
      <c r="AZ250" s="35" t="s">
        <v>465</v>
      </c>
      <c r="BA250" s="18" t="s">
        <v>57</v>
      </c>
      <c r="BC250" s="33" t="n">
        <f aca="false">AW250+AX250</f>
        <v>0</v>
      </c>
      <c r="BD250" s="33" t="n">
        <f aca="false">G250/(100-BE250)*100</f>
        <v>0</v>
      </c>
      <c r="BE250" s="33" t="n">
        <v>0</v>
      </c>
      <c r="BF250" s="33" t="n">
        <f aca="false">249</f>
        <v>249</v>
      </c>
      <c r="BH250" s="33" t="n">
        <f aca="false">F250*AO250</f>
        <v>0</v>
      </c>
      <c r="BI250" s="33" t="n">
        <f aca="false">F250*AP250</f>
        <v>0</v>
      </c>
      <c r="BJ250" s="33" t="n">
        <f aca="false">F250*G250</f>
        <v>0</v>
      </c>
      <c r="BK250" s="33"/>
      <c r="BL250" s="33" t="n">
        <v>728</v>
      </c>
      <c r="BW250" s="33" t="n">
        <v>12</v>
      </c>
      <c r="BX250" s="9" t="s">
        <v>520</v>
      </c>
    </row>
    <row r="251" customFormat="false" ht="23.85" hidden="false" customHeight="false" outlineLevel="0" collapsed="false">
      <c r="A251" s="36"/>
      <c r="C251" s="37" t="s">
        <v>68</v>
      </c>
      <c r="D251" s="40" t="s">
        <v>521</v>
      </c>
      <c r="F251" s="38" t="n">
        <v>5</v>
      </c>
      <c r="K251" s="39"/>
    </row>
    <row r="252" customFormat="false" ht="15" hidden="false" customHeight="true" outlineLevel="0" collapsed="false">
      <c r="A252" s="32" t="s">
        <v>522</v>
      </c>
      <c r="B252" s="10" t="s">
        <v>523</v>
      </c>
      <c r="C252" s="9" t="s">
        <v>524</v>
      </c>
      <c r="D252" s="9"/>
      <c r="E252" s="10" t="s">
        <v>163</v>
      </c>
      <c r="F252" s="33" t="n">
        <v>5</v>
      </c>
      <c r="G252" s="33" t="n">
        <v>0</v>
      </c>
      <c r="H252" s="33" t="n">
        <f aca="false">F252*AO252</f>
        <v>0</v>
      </c>
      <c r="I252" s="33" t="n">
        <f aca="false">F252*AP252</f>
        <v>0</v>
      </c>
      <c r="J252" s="33" t="n">
        <f aca="false">F252*G252</f>
        <v>0</v>
      </c>
      <c r="K252" s="34" t="s">
        <v>55</v>
      </c>
      <c r="Z252" s="33" t="n">
        <f aca="false">IF(AQ252="5",BJ252,0)</f>
        <v>0</v>
      </c>
      <c r="AB252" s="33" t="n">
        <f aca="false">IF(AQ252="1",BH252,0)</f>
        <v>0</v>
      </c>
      <c r="AC252" s="33" t="n">
        <f aca="false">IF(AQ252="1",BI252,0)</f>
        <v>0</v>
      </c>
      <c r="AD252" s="33" t="n">
        <f aca="false">IF(AQ252="7",BH252,0)</f>
        <v>0</v>
      </c>
      <c r="AE252" s="33" t="n">
        <f aca="false">IF(AQ252="7",BI252,0)</f>
        <v>0</v>
      </c>
      <c r="AF252" s="33" t="n">
        <f aca="false">IF(AQ252="2",BH252,0)</f>
        <v>0</v>
      </c>
      <c r="AG252" s="33" t="n">
        <f aca="false">IF(AQ252="2",BI252,0)</f>
        <v>0</v>
      </c>
      <c r="AH252" s="33" t="n">
        <f aca="false">IF(AQ252="0",BJ252,0)</f>
        <v>0</v>
      </c>
      <c r="AI252" s="18"/>
      <c r="AJ252" s="33" t="n">
        <f aca="false">IF(AN252=0,J252,0)</f>
        <v>0</v>
      </c>
      <c r="AK252" s="33" t="n">
        <f aca="false">IF(AN252=12,J252,0)</f>
        <v>0</v>
      </c>
      <c r="AL252" s="33" t="n">
        <f aca="false">IF(AN252=21,J252,0)</f>
        <v>0</v>
      </c>
      <c r="AN252" s="33" t="n">
        <v>12</v>
      </c>
      <c r="AO252" s="33" t="n">
        <f aca="false">G252*0.840272601</f>
        <v>0</v>
      </c>
      <c r="AP252" s="33" t="n">
        <f aca="false">G252*(1-0.840272601)</f>
        <v>0</v>
      </c>
      <c r="AQ252" s="35" t="s">
        <v>80</v>
      </c>
      <c r="AV252" s="33" t="n">
        <f aca="false">AW252+AX252</f>
        <v>0</v>
      </c>
      <c r="AW252" s="33" t="n">
        <f aca="false">F252*AO252</f>
        <v>0</v>
      </c>
      <c r="AX252" s="33" t="n">
        <f aca="false">F252*AP252</f>
        <v>0</v>
      </c>
      <c r="AY252" s="35" t="s">
        <v>481</v>
      </c>
      <c r="AZ252" s="35" t="s">
        <v>465</v>
      </c>
      <c r="BA252" s="18" t="s">
        <v>57</v>
      </c>
      <c r="BC252" s="33" t="n">
        <f aca="false">AW252+AX252</f>
        <v>0</v>
      </c>
      <c r="BD252" s="33" t="n">
        <f aca="false">G252/(100-BE252)*100</f>
        <v>0</v>
      </c>
      <c r="BE252" s="33" t="n">
        <v>0</v>
      </c>
      <c r="BF252" s="33" t="n">
        <f aca="false">252</f>
        <v>252</v>
      </c>
      <c r="BH252" s="33" t="n">
        <f aca="false">F252*AO252</f>
        <v>0</v>
      </c>
      <c r="BI252" s="33" t="n">
        <f aca="false">F252*AP252</f>
        <v>0</v>
      </c>
      <c r="BJ252" s="33" t="n">
        <f aca="false">F252*G252</f>
        <v>0</v>
      </c>
      <c r="BK252" s="33"/>
      <c r="BL252" s="33" t="n">
        <v>728</v>
      </c>
      <c r="BW252" s="33" t="n">
        <v>12</v>
      </c>
      <c r="BX252" s="9" t="s">
        <v>524</v>
      </c>
    </row>
    <row r="253" customFormat="false" ht="15" hidden="false" customHeight="false" outlineLevel="0" collapsed="false">
      <c r="A253" s="36"/>
      <c r="C253" s="37" t="s">
        <v>68</v>
      </c>
      <c r="D253" s="37"/>
      <c r="F253" s="38" t="n">
        <v>5</v>
      </c>
      <c r="K253" s="39"/>
    </row>
    <row r="254" customFormat="false" ht="15" hidden="false" customHeight="true" outlineLevel="0" collapsed="false">
      <c r="A254" s="32" t="s">
        <v>525</v>
      </c>
      <c r="B254" s="10" t="s">
        <v>526</v>
      </c>
      <c r="C254" s="9" t="s">
        <v>527</v>
      </c>
      <c r="D254" s="9"/>
      <c r="E254" s="10" t="s">
        <v>163</v>
      </c>
      <c r="F254" s="33" t="n">
        <v>5</v>
      </c>
      <c r="G254" s="33" t="n">
        <v>0</v>
      </c>
      <c r="H254" s="33" t="n">
        <f aca="false">F254*AO254</f>
        <v>0</v>
      </c>
      <c r="I254" s="33" t="n">
        <f aca="false">F254*AP254</f>
        <v>0</v>
      </c>
      <c r="J254" s="33" t="n">
        <f aca="false">F254*G254</f>
        <v>0</v>
      </c>
      <c r="K254" s="34" t="s">
        <v>55</v>
      </c>
      <c r="Z254" s="33" t="n">
        <f aca="false">IF(AQ254="5",BJ254,0)</f>
        <v>0</v>
      </c>
      <c r="AB254" s="33" t="n">
        <f aca="false">IF(AQ254="1",BH254,0)</f>
        <v>0</v>
      </c>
      <c r="AC254" s="33" t="n">
        <f aca="false">IF(AQ254="1",BI254,0)</f>
        <v>0</v>
      </c>
      <c r="AD254" s="33" t="n">
        <f aca="false">IF(AQ254="7",BH254,0)</f>
        <v>0</v>
      </c>
      <c r="AE254" s="33" t="n">
        <f aca="false">IF(AQ254="7",BI254,0)</f>
        <v>0</v>
      </c>
      <c r="AF254" s="33" t="n">
        <f aca="false">IF(AQ254="2",BH254,0)</f>
        <v>0</v>
      </c>
      <c r="AG254" s="33" t="n">
        <f aca="false">IF(AQ254="2",BI254,0)</f>
        <v>0</v>
      </c>
      <c r="AH254" s="33" t="n">
        <f aca="false">IF(AQ254="0",BJ254,0)</f>
        <v>0</v>
      </c>
      <c r="AI254" s="18"/>
      <c r="AJ254" s="33" t="n">
        <f aca="false">IF(AN254=0,J254,0)</f>
        <v>0</v>
      </c>
      <c r="AK254" s="33" t="n">
        <f aca="false">IF(AN254=12,J254,0)</f>
        <v>0</v>
      </c>
      <c r="AL254" s="33" t="n">
        <f aca="false">IF(AN254=21,J254,0)</f>
        <v>0</v>
      </c>
      <c r="AN254" s="33" t="n">
        <v>12</v>
      </c>
      <c r="AO254" s="33" t="n">
        <f aca="false">G254*0.690140845</f>
        <v>0</v>
      </c>
      <c r="AP254" s="33" t="n">
        <f aca="false">G254*(1-0.690140845)</f>
        <v>0</v>
      </c>
      <c r="AQ254" s="35" t="s">
        <v>80</v>
      </c>
      <c r="AV254" s="33" t="n">
        <f aca="false">AW254+AX254</f>
        <v>0</v>
      </c>
      <c r="AW254" s="33" t="n">
        <f aca="false">F254*AO254</f>
        <v>0</v>
      </c>
      <c r="AX254" s="33" t="n">
        <f aca="false">F254*AP254</f>
        <v>0</v>
      </c>
      <c r="AY254" s="35" t="s">
        <v>481</v>
      </c>
      <c r="AZ254" s="35" t="s">
        <v>465</v>
      </c>
      <c r="BA254" s="18" t="s">
        <v>57</v>
      </c>
      <c r="BC254" s="33" t="n">
        <f aca="false">AW254+AX254</f>
        <v>0</v>
      </c>
      <c r="BD254" s="33" t="n">
        <f aca="false">G254/(100-BE254)*100</f>
        <v>0</v>
      </c>
      <c r="BE254" s="33" t="n">
        <v>0</v>
      </c>
      <c r="BF254" s="33" t="n">
        <f aca="false">254</f>
        <v>254</v>
      </c>
      <c r="BH254" s="33" t="n">
        <f aca="false">F254*AO254</f>
        <v>0</v>
      </c>
      <c r="BI254" s="33" t="n">
        <f aca="false">F254*AP254</f>
        <v>0</v>
      </c>
      <c r="BJ254" s="33" t="n">
        <f aca="false">F254*G254</f>
        <v>0</v>
      </c>
      <c r="BK254" s="33"/>
      <c r="BL254" s="33" t="n">
        <v>728</v>
      </c>
      <c r="BW254" s="33" t="n">
        <v>12</v>
      </c>
      <c r="BX254" s="9" t="s">
        <v>527</v>
      </c>
    </row>
    <row r="255" customFormat="false" ht="15" hidden="false" customHeight="false" outlineLevel="0" collapsed="false">
      <c r="A255" s="36"/>
      <c r="C255" s="37" t="s">
        <v>68</v>
      </c>
      <c r="D255" s="37"/>
      <c r="F255" s="38" t="n">
        <v>5</v>
      </c>
      <c r="K255" s="39"/>
    </row>
    <row r="256" customFormat="false" ht="15" hidden="false" customHeight="true" outlineLevel="0" collapsed="false">
      <c r="A256" s="32" t="s">
        <v>528</v>
      </c>
      <c r="B256" s="10" t="s">
        <v>529</v>
      </c>
      <c r="C256" s="9" t="s">
        <v>530</v>
      </c>
      <c r="D256" s="9"/>
      <c r="E256" s="10" t="s">
        <v>163</v>
      </c>
      <c r="F256" s="33" t="n">
        <v>110</v>
      </c>
      <c r="G256" s="33" t="n">
        <v>0</v>
      </c>
      <c r="H256" s="33" t="n">
        <f aca="false">F256*AO256</f>
        <v>0</v>
      </c>
      <c r="I256" s="33" t="n">
        <f aca="false">F256*AP256</f>
        <v>0</v>
      </c>
      <c r="J256" s="33" t="n">
        <f aca="false">F256*G256</f>
        <v>0</v>
      </c>
      <c r="K256" s="34" t="s">
        <v>55</v>
      </c>
      <c r="Z256" s="33" t="n">
        <f aca="false">IF(AQ256="5",BJ256,0)</f>
        <v>0</v>
      </c>
      <c r="AB256" s="33" t="n">
        <f aca="false">IF(AQ256="1",BH256,0)</f>
        <v>0</v>
      </c>
      <c r="AC256" s="33" t="n">
        <f aca="false">IF(AQ256="1",BI256,0)</f>
        <v>0</v>
      </c>
      <c r="AD256" s="33" t="n">
        <f aca="false">IF(AQ256="7",BH256,0)</f>
        <v>0</v>
      </c>
      <c r="AE256" s="33" t="n">
        <f aca="false">IF(AQ256="7",BI256,0)</f>
        <v>0</v>
      </c>
      <c r="AF256" s="33" t="n">
        <f aca="false">IF(AQ256="2",BH256,0)</f>
        <v>0</v>
      </c>
      <c r="AG256" s="33" t="n">
        <f aca="false">IF(AQ256="2",BI256,0)</f>
        <v>0</v>
      </c>
      <c r="AH256" s="33" t="n">
        <f aca="false">IF(AQ256="0",BJ256,0)</f>
        <v>0</v>
      </c>
      <c r="AI256" s="18"/>
      <c r="AJ256" s="33" t="n">
        <f aca="false">IF(AN256=0,J256,0)</f>
        <v>0</v>
      </c>
      <c r="AK256" s="33" t="n">
        <f aca="false">IF(AN256=12,J256,0)</f>
        <v>0</v>
      </c>
      <c r="AL256" s="33" t="n">
        <f aca="false">IF(AN256=21,J256,0)</f>
        <v>0</v>
      </c>
      <c r="AN256" s="33" t="n">
        <v>12</v>
      </c>
      <c r="AO256" s="33" t="n">
        <f aca="false">G256*0.571523179</f>
        <v>0</v>
      </c>
      <c r="AP256" s="33" t="n">
        <f aca="false">G256*(1-0.571523179)</f>
        <v>0</v>
      </c>
      <c r="AQ256" s="35" t="s">
        <v>80</v>
      </c>
      <c r="AV256" s="33" t="n">
        <f aca="false">AW256+AX256</f>
        <v>0</v>
      </c>
      <c r="AW256" s="33" t="n">
        <f aca="false">F256*AO256</f>
        <v>0</v>
      </c>
      <c r="AX256" s="33" t="n">
        <f aca="false">F256*AP256</f>
        <v>0</v>
      </c>
      <c r="AY256" s="35" t="s">
        <v>481</v>
      </c>
      <c r="AZ256" s="35" t="s">
        <v>465</v>
      </c>
      <c r="BA256" s="18" t="s">
        <v>57</v>
      </c>
      <c r="BC256" s="33" t="n">
        <f aca="false">AW256+AX256</f>
        <v>0</v>
      </c>
      <c r="BD256" s="33" t="n">
        <f aca="false">G256/(100-BE256)*100</f>
        <v>0</v>
      </c>
      <c r="BE256" s="33" t="n">
        <v>0</v>
      </c>
      <c r="BF256" s="33" t="n">
        <f aca="false">256</f>
        <v>256</v>
      </c>
      <c r="BH256" s="33" t="n">
        <f aca="false">F256*AO256</f>
        <v>0</v>
      </c>
      <c r="BI256" s="33" t="n">
        <f aca="false">F256*AP256</f>
        <v>0</v>
      </c>
      <c r="BJ256" s="33" t="n">
        <f aca="false">F256*G256</f>
        <v>0</v>
      </c>
      <c r="BK256" s="33"/>
      <c r="BL256" s="33" t="n">
        <v>728</v>
      </c>
      <c r="BW256" s="33" t="n">
        <v>12</v>
      </c>
      <c r="BX256" s="9" t="s">
        <v>530</v>
      </c>
    </row>
    <row r="257" customFormat="false" ht="15" hidden="false" customHeight="false" outlineLevel="0" collapsed="false">
      <c r="A257" s="36"/>
      <c r="C257" s="37" t="s">
        <v>531</v>
      </c>
      <c r="D257" s="37"/>
      <c r="F257" s="38" t="n">
        <v>110</v>
      </c>
      <c r="K257" s="39"/>
    </row>
    <row r="258" customFormat="false" ht="15" hidden="false" customHeight="true" outlineLevel="0" collapsed="false">
      <c r="A258" s="32" t="s">
        <v>532</v>
      </c>
      <c r="B258" s="10" t="s">
        <v>533</v>
      </c>
      <c r="C258" s="9" t="s">
        <v>534</v>
      </c>
      <c r="D258" s="9"/>
      <c r="E258" s="10" t="s">
        <v>163</v>
      </c>
      <c r="F258" s="33" t="n">
        <v>110</v>
      </c>
      <c r="G258" s="33" t="n">
        <v>0</v>
      </c>
      <c r="H258" s="33" t="n">
        <f aca="false">F258*AO258</f>
        <v>0</v>
      </c>
      <c r="I258" s="33" t="n">
        <f aca="false">F258*AP258</f>
        <v>0</v>
      </c>
      <c r="J258" s="33" t="n">
        <f aca="false">F258*G258</f>
        <v>0</v>
      </c>
      <c r="K258" s="34" t="s">
        <v>55</v>
      </c>
      <c r="Z258" s="33" t="n">
        <f aca="false">IF(AQ258="5",BJ258,0)</f>
        <v>0</v>
      </c>
      <c r="AB258" s="33" t="n">
        <f aca="false">IF(AQ258="1",BH258,0)</f>
        <v>0</v>
      </c>
      <c r="AC258" s="33" t="n">
        <f aca="false">IF(AQ258="1",BI258,0)</f>
        <v>0</v>
      </c>
      <c r="AD258" s="33" t="n">
        <f aca="false">IF(AQ258="7",BH258,0)</f>
        <v>0</v>
      </c>
      <c r="AE258" s="33" t="n">
        <f aca="false">IF(AQ258="7",BI258,0)</f>
        <v>0</v>
      </c>
      <c r="AF258" s="33" t="n">
        <f aca="false">IF(AQ258="2",BH258,0)</f>
        <v>0</v>
      </c>
      <c r="AG258" s="33" t="n">
        <f aca="false">IF(AQ258="2",BI258,0)</f>
        <v>0</v>
      </c>
      <c r="AH258" s="33" t="n">
        <f aca="false">IF(AQ258="0",BJ258,0)</f>
        <v>0</v>
      </c>
      <c r="AI258" s="18"/>
      <c r="AJ258" s="33" t="n">
        <f aca="false">IF(AN258=0,J258,0)</f>
        <v>0</v>
      </c>
      <c r="AK258" s="33" t="n">
        <f aca="false">IF(AN258=12,J258,0)</f>
        <v>0</v>
      </c>
      <c r="AL258" s="33" t="n">
        <f aca="false">IF(AN258=21,J258,0)</f>
        <v>0</v>
      </c>
      <c r="AN258" s="33" t="n">
        <v>12</v>
      </c>
      <c r="AO258" s="33" t="n">
        <f aca="false">G258*0</f>
        <v>0</v>
      </c>
      <c r="AP258" s="33" t="n">
        <f aca="false">G258*(1-0)</f>
        <v>0</v>
      </c>
      <c r="AQ258" s="35" t="s">
        <v>80</v>
      </c>
      <c r="AV258" s="33" t="n">
        <f aca="false">AW258+AX258</f>
        <v>0</v>
      </c>
      <c r="AW258" s="33" t="n">
        <f aca="false">F258*AO258</f>
        <v>0</v>
      </c>
      <c r="AX258" s="33" t="n">
        <f aca="false">F258*AP258</f>
        <v>0</v>
      </c>
      <c r="AY258" s="35" t="s">
        <v>481</v>
      </c>
      <c r="AZ258" s="35" t="s">
        <v>465</v>
      </c>
      <c r="BA258" s="18" t="s">
        <v>57</v>
      </c>
      <c r="BC258" s="33" t="n">
        <f aca="false">AW258+AX258</f>
        <v>0</v>
      </c>
      <c r="BD258" s="33" t="n">
        <f aca="false">G258/(100-BE258)*100</f>
        <v>0</v>
      </c>
      <c r="BE258" s="33" t="n">
        <v>0</v>
      </c>
      <c r="BF258" s="33" t="n">
        <f aca="false">258</f>
        <v>258</v>
      </c>
      <c r="BH258" s="33" t="n">
        <f aca="false">F258*AO258</f>
        <v>0</v>
      </c>
      <c r="BI258" s="33" t="n">
        <f aca="false">F258*AP258</f>
        <v>0</v>
      </c>
      <c r="BJ258" s="33" t="n">
        <f aca="false">F258*G258</f>
        <v>0</v>
      </c>
      <c r="BK258" s="33"/>
      <c r="BL258" s="33" t="n">
        <v>728</v>
      </c>
      <c r="BW258" s="33" t="n">
        <v>12</v>
      </c>
      <c r="BX258" s="9" t="s">
        <v>534</v>
      </c>
    </row>
    <row r="259" customFormat="false" ht="15" hidden="false" customHeight="false" outlineLevel="0" collapsed="false">
      <c r="A259" s="36"/>
      <c r="C259" s="37" t="s">
        <v>531</v>
      </c>
      <c r="D259" s="37"/>
      <c r="F259" s="38" t="n">
        <v>110</v>
      </c>
      <c r="K259" s="39"/>
    </row>
    <row r="260" customFormat="false" ht="15" hidden="false" customHeight="true" outlineLevel="0" collapsed="false">
      <c r="A260" s="32" t="s">
        <v>535</v>
      </c>
      <c r="B260" s="10" t="s">
        <v>536</v>
      </c>
      <c r="C260" s="9" t="s">
        <v>537</v>
      </c>
      <c r="D260" s="9"/>
      <c r="E260" s="10" t="s">
        <v>163</v>
      </c>
      <c r="F260" s="33" t="n">
        <v>5</v>
      </c>
      <c r="G260" s="33" t="n">
        <v>0</v>
      </c>
      <c r="H260" s="33" t="n">
        <f aca="false">F260*AO260</f>
        <v>0</v>
      </c>
      <c r="I260" s="33" t="n">
        <f aca="false">F260*AP260</f>
        <v>0</v>
      </c>
      <c r="J260" s="33" t="n">
        <f aca="false">F260*G260</f>
        <v>0</v>
      </c>
      <c r="K260" s="34" t="s">
        <v>55</v>
      </c>
      <c r="Z260" s="33" t="n">
        <f aca="false">IF(AQ260="5",BJ260,0)</f>
        <v>0</v>
      </c>
      <c r="AB260" s="33" t="n">
        <f aca="false">IF(AQ260="1",BH260,0)</f>
        <v>0</v>
      </c>
      <c r="AC260" s="33" t="n">
        <f aca="false">IF(AQ260="1",BI260,0)</f>
        <v>0</v>
      </c>
      <c r="AD260" s="33" t="n">
        <f aca="false">IF(AQ260="7",BH260,0)</f>
        <v>0</v>
      </c>
      <c r="AE260" s="33" t="n">
        <f aca="false">IF(AQ260="7",BI260,0)</f>
        <v>0</v>
      </c>
      <c r="AF260" s="33" t="n">
        <f aca="false">IF(AQ260="2",BH260,0)</f>
        <v>0</v>
      </c>
      <c r="AG260" s="33" t="n">
        <f aca="false">IF(AQ260="2",BI260,0)</f>
        <v>0</v>
      </c>
      <c r="AH260" s="33" t="n">
        <f aca="false">IF(AQ260="0",BJ260,0)</f>
        <v>0</v>
      </c>
      <c r="AI260" s="18"/>
      <c r="AJ260" s="33" t="n">
        <f aca="false">IF(AN260=0,J260,0)</f>
        <v>0</v>
      </c>
      <c r="AK260" s="33" t="n">
        <f aca="false">IF(AN260=12,J260,0)</f>
        <v>0</v>
      </c>
      <c r="AL260" s="33" t="n">
        <f aca="false">IF(AN260=21,J260,0)</f>
        <v>0</v>
      </c>
      <c r="AN260" s="33" t="n">
        <v>12</v>
      </c>
      <c r="AO260" s="33" t="n">
        <f aca="false">G260*0</f>
        <v>0</v>
      </c>
      <c r="AP260" s="33" t="n">
        <f aca="false">G260*(1-0)</f>
        <v>0</v>
      </c>
      <c r="AQ260" s="35" t="s">
        <v>80</v>
      </c>
      <c r="AV260" s="33" t="n">
        <f aca="false">AW260+AX260</f>
        <v>0</v>
      </c>
      <c r="AW260" s="33" t="n">
        <f aca="false">F260*AO260</f>
        <v>0</v>
      </c>
      <c r="AX260" s="33" t="n">
        <f aca="false">F260*AP260</f>
        <v>0</v>
      </c>
      <c r="AY260" s="35" t="s">
        <v>481</v>
      </c>
      <c r="AZ260" s="35" t="s">
        <v>465</v>
      </c>
      <c r="BA260" s="18" t="s">
        <v>57</v>
      </c>
      <c r="BC260" s="33" t="n">
        <f aca="false">AW260+AX260</f>
        <v>0</v>
      </c>
      <c r="BD260" s="33" t="n">
        <f aca="false">G260/(100-BE260)*100</f>
        <v>0</v>
      </c>
      <c r="BE260" s="33" t="n">
        <v>0</v>
      </c>
      <c r="BF260" s="33" t="n">
        <f aca="false">260</f>
        <v>260</v>
      </c>
      <c r="BH260" s="33" t="n">
        <f aca="false">F260*AO260</f>
        <v>0</v>
      </c>
      <c r="BI260" s="33" t="n">
        <f aca="false">F260*AP260</f>
        <v>0</v>
      </c>
      <c r="BJ260" s="33" t="n">
        <f aca="false">F260*G260</f>
        <v>0</v>
      </c>
      <c r="BK260" s="33"/>
      <c r="BL260" s="33" t="n">
        <v>728</v>
      </c>
      <c r="BW260" s="33" t="n">
        <v>12</v>
      </c>
      <c r="BX260" s="9" t="s">
        <v>537</v>
      </c>
    </row>
    <row r="261" customFormat="false" ht="15" hidden="false" customHeight="false" outlineLevel="0" collapsed="false">
      <c r="A261" s="36"/>
      <c r="C261" s="37" t="s">
        <v>68</v>
      </c>
      <c r="D261" s="37"/>
      <c r="F261" s="38" t="n">
        <v>5</v>
      </c>
      <c r="K261" s="39"/>
    </row>
    <row r="262" customFormat="false" ht="15" hidden="false" customHeight="true" outlineLevel="0" collapsed="false">
      <c r="A262" s="32" t="s">
        <v>538</v>
      </c>
      <c r="B262" s="10" t="s">
        <v>539</v>
      </c>
      <c r="C262" s="9" t="s">
        <v>540</v>
      </c>
      <c r="D262" s="9"/>
      <c r="E262" s="10" t="s">
        <v>163</v>
      </c>
      <c r="F262" s="33" t="n">
        <v>110</v>
      </c>
      <c r="G262" s="33" t="n">
        <v>0</v>
      </c>
      <c r="H262" s="33" t="n">
        <f aca="false">F262*AO262</f>
        <v>0</v>
      </c>
      <c r="I262" s="33" t="n">
        <f aca="false">F262*AP262</f>
        <v>0</v>
      </c>
      <c r="J262" s="33" t="n">
        <f aca="false">F262*G262</f>
        <v>0</v>
      </c>
      <c r="K262" s="34" t="s">
        <v>55</v>
      </c>
      <c r="Z262" s="33" t="n">
        <f aca="false">IF(AQ262="5",BJ262,0)</f>
        <v>0</v>
      </c>
      <c r="AB262" s="33" t="n">
        <f aca="false">IF(AQ262="1",BH262,0)</f>
        <v>0</v>
      </c>
      <c r="AC262" s="33" t="n">
        <f aca="false">IF(AQ262="1",BI262,0)</f>
        <v>0</v>
      </c>
      <c r="AD262" s="33" t="n">
        <f aca="false">IF(AQ262="7",BH262,0)</f>
        <v>0</v>
      </c>
      <c r="AE262" s="33" t="n">
        <f aca="false">IF(AQ262="7",BI262,0)</f>
        <v>0</v>
      </c>
      <c r="AF262" s="33" t="n">
        <f aca="false">IF(AQ262="2",BH262,0)</f>
        <v>0</v>
      </c>
      <c r="AG262" s="33" t="n">
        <f aca="false">IF(AQ262="2",BI262,0)</f>
        <v>0</v>
      </c>
      <c r="AH262" s="33" t="n">
        <f aca="false">IF(AQ262="0",BJ262,0)</f>
        <v>0</v>
      </c>
      <c r="AI262" s="18"/>
      <c r="AJ262" s="33" t="n">
        <f aca="false">IF(AN262=0,J262,0)</f>
        <v>0</v>
      </c>
      <c r="AK262" s="33" t="n">
        <f aca="false">IF(AN262=12,J262,0)</f>
        <v>0</v>
      </c>
      <c r="AL262" s="33" t="n">
        <f aca="false">IF(AN262=21,J262,0)</f>
        <v>0</v>
      </c>
      <c r="AN262" s="33" t="n">
        <v>12</v>
      </c>
      <c r="AO262" s="33" t="n">
        <f aca="false">G262*0.666666667</f>
        <v>0</v>
      </c>
      <c r="AP262" s="33" t="n">
        <f aca="false">G262*(1-0.666666667)</f>
        <v>0</v>
      </c>
      <c r="AQ262" s="35" t="s">
        <v>80</v>
      </c>
      <c r="AV262" s="33" t="n">
        <f aca="false">AW262+AX262</f>
        <v>0</v>
      </c>
      <c r="AW262" s="33" t="n">
        <f aca="false">F262*AO262</f>
        <v>0</v>
      </c>
      <c r="AX262" s="33" t="n">
        <f aca="false">F262*AP262</f>
        <v>0</v>
      </c>
      <c r="AY262" s="35" t="s">
        <v>481</v>
      </c>
      <c r="AZ262" s="35" t="s">
        <v>465</v>
      </c>
      <c r="BA262" s="18" t="s">
        <v>57</v>
      </c>
      <c r="BC262" s="33" t="n">
        <f aca="false">AW262+AX262</f>
        <v>0</v>
      </c>
      <c r="BD262" s="33" t="n">
        <f aca="false">G262/(100-BE262)*100</f>
        <v>0</v>
      </c>
      <c r="BE262" s="33" t="n">
        <v>0</v>
      </c>
      <c r="BF262" s="33" t="n">
        <f aca="false">262</f>
        <v>262</v>
      </c>
      <c r="BH262" s="33" t="n">
        <f aca="false">F262*AO262</f>
        <v>0</v>
      </c>
      <c r="BI262" s="33" t="n">
        <f aca="false">F262*AP262</f>
        <v>0</v>
      </c>
      <c r="BJ262" s="33" t="n">
        <f aca="false">F262*G262</f>
        <v>0</v>
      </c>
      <c r="BK262" s="33"/>
      <c r="BL262" s="33" t="n">
        <v>728</v>
      </c>
      <c r="BW262" s="33" t="n">
        <v>12</v>
      </c>
      <c r="BX262" s="9" t="s">
        <v>541</v>
      </c>
    </row>
    <row r="263" customFormat="false" ht="15" hidden="false" customHeight="false" outlineLevel="0" collapsed="false">
      <c r="A263" s="36"/>
      <c r="C263" s="37" t="s">
        <v>531</v>
      </c>
      <c r="D263" s="37"/>
      <c r="F263" s="38" t="n">
        <v>110</v>
      </c>
      <c r="K263" s="39"/>
    </row>
    <row r="264" customFormat="false" ht="15" hidden="false" customHeight="true" outlineLevel="0" collapsed="false">
      <c r="A264" s="32" t="s">
        <v>542</v>
      </c>
      <c r="B264" s="10" t="s">
        <v>543</v>
      </c>
      <c r="C264" s="9" t="s">
        <v>544</v>
      </c>
      <c r="D264" s="9"/>
      <c r="E264" s="10" t="s">
        <v>163</v>
      </c>
      <c r="F264" s="33" t="n">
        <v>20</v>
      </c>
      <c r="G264" s="33" t="n">
        <v>0</v>
      </c>
      <c r="H264" s="33" t="n">
        <f aca="false">F264*AO264</f>
        <v>0</v>
      </c>
      <c r="I264" s="33" t="n">
        <f aca="false">F264*AP264</f>
        <v>0</v>
      </c>
      <c r="J264" s="33" t="n">
        <f aca="false">F264*G264</f>
        <v>0</v>
      </c>
      <c r="K264" s="34" t="s">
        <v>55</v>
      </c>
      <c r="Z264" s="33" t="n">
        <f aca="false">IF(AQ264="5",BJ264,0)</f>
        <v>0</v>
      </c>
      <c r="AB264" s="33" t="n">
        <f aca="false">IF(AQ264="1",BH264,0)</f>
        <v>0</v>
      </c>
      <c r="AC264" s="33" t="n">
        <f aca="false">IF(AQ264="1",BI264,0)</f>
        <v>0</v>
      </c>
      <c r="AD264" s="33" t="n">
        <f aca="false">IF(AQ264="7",BH264,0)</f>
        <v>0</v>
      </c>
      <c r="AE264" s="33" t="n">
        <f aca="false">IF(AQ264="7",BI264,0)</f>
        <v>0</v>
      </c>
      <c r="AF264" s="33" t="n">
        <f aca="false">IF(AQ264="2",BH264,0)</f>
        <v>0</v>
      </c>
      <c r="AG264" s="33" t="n">
        <f aca="false">IF(AQ264="2",BI264,0)</f>
        <v>0</v>
      </c>
      <c r="AH264" s="33" t="n">
        <f aca="false">IF(AQ264="0",BJ264,0)</f>
        <v>0</v>
      </c>
      <c r="AI264" s="18"/>
      <c r="AJ264" s="33" t="n">
        <f aca="false">IF(AN264=0,J264,0)</f>
        <v>0</v>
      </c>
      <c r="AK264" s="33" t="n">
        <f aca="false">IF(AN264=12,J264,0)</f>
        <v>0</v>
      </c>
      <c r="AL264" s="33" t="n">
        <f aca="false">IF(AN264=21,J264,0)</f>
        <v>0</v>
      </c>
      <c r="AN264" s="33" t="n">
        <v>12</v>
      </c>
      <c r="AO264" s="33" t="n">
        <f aca="false">G264*0.777646012</f>
        <v>0</v>
      </c>
      <c r="AP264" s="33" t="n">
        <f aca="false">G264*(1-0.777646012)</f>
        <v>0</v>
      </c>
      <c r="AQ264" s="35" t="s">
        <v>80</v>
      </c>
      <c r="AV264" s="33" t="n">
        <f aca="false">AW264+AX264</f>
        <v>0</v>
      </c>
      <c r="AW264" s="33" t="n">
        <f aca="false">F264*AO264</f>
        <v>0</v>
      </c>
      <c r="AX264" s="33" t="n">
        <f aca="false">F264*AP264</f>
        <v>0</v>
      </c>
      <c r="AY264" s="35" t="s">
        <v>481</v>
      </c>
      <c r="AZ264" s="35" t="s">
        <v>465</v>
      </c>
      <c r="BA264" s="18" t="s">
        <v>57</v>
      </c>
      <c r="BC264" s="33" t="n">
        <f aca="false">AW264+AX264</f>
        <v>0</v>
      </c>
      <c r="BD264" s="33" t="n">
        <f aca="false">G264/(100-BE264)*100</f>
        <v>0</v>
      </c>
      <c r="BE264" s="33" t="n">
        <v>0</v>
      </c>
      <c r="BF264" s="33" t="n">
        <f aca="false">264</f>
        <v>264</v>
      </c>
      <c r="BH264" s="33" t="n">
        <f aca="false">F264*AO264</f>
        <v>0</v>
      </c>
      <c r="BI264" s="33" t="n">
        <f aca="false">F264*AP264</f>
        <v>0</v>
      </c>
      <c r="BJ264" s="33" t="n">
        <f aca="false">F264*G264</f>
        <v>0</v>
      </c>
      <c r="BK264" s="33"/>
      <c r="BL264" s="33" t="n">
        <v>728</v>
      </c>
      <c r="BW264" s="33" t="n">
        <v>12</v>
      </c>
      <c r="BX264" s="9" t="s">
        <v>544</v>
      </c>
    </row>
    <row r="265" customFormat="false" ht="13.8" hidden="false" customHeight="false" outlineLevel="0" collapsed="false">
      <c r="A265" s="36"/>
      <c r="C265" s="37" t="s">
        <v>165</v>
      </c>
      <c r="D265" s="40" t="s">
        <v>545</v>
      </c>
      <c r="F265" s="38" t="n">
        <v>20</v>
      </c>
      <c r="K265" s="39"/>
    </row>
    <row r="266" customFormat="false" ht="15" hidden="false" customHeight="true" outlineLevel="0" collapsed="false">
      <c r="A266" s="32" t="s">
        <v>546</v>
      </c>
      <c r="B266" s="10" t="s">
        <v>547</v>
      </c>
      <c r="C266" s="9" t="s">
        <v>548</v>
      </c>
      <c r="D266" s="9"/>
      <c r="E266" s="10" t="s">
        <v>163</v>
      </c>
      <c r="F266" s="33" t="n">
        <v>5</v>
      </c>
      <c r="G266" s="33" t="n">
        <v>0</v>
      </c>
      <c r="H266" s="33" t="n">
        <f aca="false">F266*AO266</f>
        <v>0</v>
      </c>
      <c r="I266" s="33" t="n">
        <f aca="false">F266*AP266</f>
        <v>0</v>
      </c>
      <c r="J266" s="33" t="n">
        <f aca="false">F266*G266</f>
        <v>0</v>
      </c>
      <c r="K266" s="34" t="s">
        <v>55</v>
      </c>
      <c r="Z266" s="33" t="n">
        <f aca="false">IF(AQ266="5",BJ266,0)</f>
        <v>0</v>
      </c>
      <c r="AB266" s="33" t="n">
        <f aca="false">IF(AQ266="1",BH266,0)</f>
        <v>0</v>
      </c>
      <c r="AC266" s="33" t="n">
        <f aca="false">IF(AQ266="1",BI266,0)</f>
        <v>0</v>
      </c>
      <c r="AD266" s="33" t="n">
        <f aca="false">IF(AQ266="7",BH266,0)</f>
        <v>0</v>
      </c>
      <c r="AE266" s="33" t="n">
        <f aca="false">IF(AQ266="7",BI266,0)</f>
        <v>0</v>
      </c>
      <c r="AF266" s="33" t="n">
        <f aca="false">IF(AQ266="2",BH266,0)</f>
        <v>0</v>
      </c>
      <c r="AG266" s="33" t="n">
        <f aca="false">IF(AQ266="2",BI266,0)</f>
        <v>0</v>
      </c>
      <c r="AH266" s="33" t="n">
        <f aca="false">IF(AQ266="0",BJ266,0)</f>
        <v>0</v>
      </c>
      <c r="AI266" s="18"/>
      <c r="AJ266" s="33" t="n">
        <f aca="false">IF(AN266=0,J266,0)</f>
        <v>0</v>
      </c>
      <c r="AK266" s="33" t="n">
        <f aca="false">IF(AN266=12,J266,0)</f>
        <v>0</v>
      </c>
      <c r="AL266" s="33" t="n">
        <f aca="false">IF(AN266=21,J266,0)</f>
        <v>0</v>
      </c>
      <c r="AN266" s="33" t="n">
        <v>12</v>
      </c>
      <c r="AO266" s="33" t="n">
        <f aca="false">G266*0.689643107</f>
        <v>0</v>
      </c>
      <c r="AP266" s="33" t="n">
        <f aca="false">G266*(1-0.689643107)</f>
        <v>0</v>
      </c>
      <c r="AQ266" s="35" t="s">
        <v>80</v>
      </c>
      <c r="AV266" s="33" t="n">
        <f aca="false">AW266+AX266</f>
        <v>0</v>
      </c>
      <c r="AW266" s="33" t="n">
        <f aca="false">F266*AO266</f>
        <v>0</v>
      </c>
      <c r="AX266" s="33" t="n">
        <f aca="false">F266*AP266</f>
        <v>0</v>
      </c>
      <c r="AY266" s="35" t="s">
        <v>481</v>
      </c>
      <c r="AZ266" s="35" t="s">
        <v>465</v>
      </c>
      <c r="BA266" s="18" t="s">
        <v>57</v>
      </c>
      <c r="BC266" s="33" t="n">
        <f aca="false">AW266+AX266</f>
        <v>0</v>
      </c>
      <c r="BD266" s="33" t="n">
        <f aca="false">G266/(100-BE266)*100</f>
        <v>0</v>
      </c>
      <c r="BE266" s="33" t="n">
        <v>0</v>
      </c>
      <c r="BF266" s="33" t="n">
        <f aca="false">267</f>
        <v>267</v>
      </c>
      <c r="BH266" s="33" t="n">
        <f aca="false">F266*AO266</f>
        <v>0</v>
      </c>
      <c r="BI266" s="33" t="n">
        <f aca="false">F266*AP266</f>
        <v>0</v>
      </c>
      <c r="BJ266" s="33" t="n">
        <f aca="false">F266*G266</f>
        <v>0</v>
      </c>
      <c r="BK266" s="33"/>
      <c r="BL266" s="33" t="n">
        <v>728</v>
      </c>
      <c r="BW266" s="33" t="n">
        <v>12</v>
      </c>
      <c r="BX266" s="9" t="s">
        <v>548</v>
      </c>
    </row>
    <row r="267" customFormat="false" ht="15" hidden="false" customHeight="false" outlineLevel="0" collapsed="false">
      <c r="A267" s="36"/>
      <c r="C267" s="37" t="s">
        <v>68</v>
      </c>
      <c r="D267" s="37"/>
      <c r="F267" s="38" t="n">
        <v>5</v>
      </c>
      <c r="K267" s="39"/>
    </row>
    <row r="268" customFormat="false" ht="15" hidden="false" customHeight="true" outlineLevel="0" collapsed="false">
      <c r="A268" s="32" t="s">
        <v>549</v>
      </c>
      <c r="B268" s="10" t="s">
        <v>550</v>
      </c>
      <c r="C268" s="9" t="s">
        <v>551</v>
      </c>
      <c r="D268" s="9"/>
      <c r="E268" s="10" t="s">
        <v>91</v>
      </c>
      <c r="F268" s="33" t="n">
        <v>55</v>
      </c>
      <c r="G268" s="33" t="n">
        <v>0</v>
      </c>
      <c r="H268" s="33" t="n">
        <f aca="false">F268*AO268</f>
        <v>0</v>
      </c>
      <c r="I268" s="33" t="n">
        <f aca="false">F268*AP268</f>
        <v>0</v>
      </c>
      <c r="J268" s="33" t="n">
        <f aca="false">F268*G268</f>
        <v>0</v>
      </c>
      <c r="K268" s="34" t="s">
        <v>55</v>
      </c>
      <c r="Z268" s="33" t="n">
        <f aca="false">IF(AQ268="5",BJ268,0)</f>
        <v>0</v>
      </c>
      <c r="AB268" s="33" t="n">
        <f aca="false">IF(AQ268="1",BH268,0)</f>
        <v>0</v>
      </c>
      <c r="AC268" s="33" t="n">
        <f aca="false">IF(AQ268="1",BI268,0)</f>
        <v>0</v>
      </c>
      <c r="AD268" s="33" t="n">
        <f aca="false">IF(AQ268="7",BH268,0)</f>
        <v>0</v>
      </c>
      <c r="AE268" s="33" t="n">
        <f aca="false">IF(AQ268="7",BI268,0)</f>
        <v>0</v>
      </c>
      <c r="AF268" s="33" t="n">
        <f aca="false">IF(AQ268="2",BH268,0)</f>
        <v>0</v>
      </c>
      <c r="AG268" s="33" t="n">
        <f aca="false">IF(AQ268="2",BI268,0)</f>
        <v>0</v>
      </c>
      <c r="AH268" s="33" t="n">
        <f aca="false">IF(AQ268="0",BJ268,0)</f>
        <v>0</v>
      </c>
      <c r="AI268" s="18"/>
      <c r="AJ268" s="33" t="n">
        <f aca="false">IF(AN268=0,J268,0)</f>
        <v>0</v>
      </c>
      <c r="AK268" s="33" t="n">
        <f aca="false">IF(AN268=12,J268,0)</f>
        <v>0</v>
      </c>
      <c r="AL268" s="33" t="n">
        <f aca="false">IF(AN268=21,J268,0)</f>
        <v>0</v>
      </c>
      <c r="AN268" s="33" t="n">
        <v>12</v>
      </c>
      <c r="AO268" s="33" t="n">
        <f aca="false">G268*0.475524476</f>
        <v>0</v>
      </c>
      <c r="AP268" s="33" t="n">
        <f aca="false">G268*(1-0.475524476)</f>
        <v>0</v>
      </c>
      <c r="AQ268" s="35" t="s">
        <v>80</v>
      </c>
      <c r="AV268" s="33" t="n">
        <f aca="false">AW268+AX268</f>
        <v>0</v>
      </c>
      <c r="AW268" s="33" t="n">
        <f aca="false">F268*AO268</f>
        <v>0</v>
      </c>
      <c r="AX268" s="33" t="n">
        <f aca="false">F268*AP268</f>
        <v>0</v>
      </c>
      <c r="AY268" s="35" t="s">
        <v>481</v>
      </c>
      <c r="AZ268" s="35" t="s">
        <v>465</v>
      </c>
      <c r="BA268" s="18" t="s">
        <v>57</v>
      </c>
      <c r="BC268" s="33" t="n">
        <f aca="false">AW268+AX268</f>
        <v>0</v>
      </c>
      <c r="BD268" s="33" t="n">
        <f aca="false">G268/(100-BE268)*100</f>
        <v>0</v>
      </c>
      <c r="BE268" s="33" t="n">
        <v>0</v>
      </c>
      <c r="BF268" s="33" t="n">
        <f aca="false">269</f>
        <v>269</v>
      </c>
      <c r="BH268" s="33" t="n">
        <f aca="false">F268*AO268</f>
        <v>0</v>
      </c>
      <c r="BI268" s="33" t="n">
        <f aca="false">F268*AP268</f>
        <v>0</v>
      </c>
      <c r="BJ268" s="33" t="n">
        <f aca="false">F268*G268</f>
        <v>0</v>
      </c>
      <c r="BK268" s="33"/>
      <c r="BL268" s="33" t="n">
        <v>728</v>
      </c>
      <c r="BW268" s="33" t="n">
        <v>12</v>
      </c>
      <c r="BX268" s="9" t="s">
        <v>551</v>
      </c>
    </row>
    <row r="269" customFormat="false" ht="15" hidden="false" customHeight="false" outlineLevel="0" collapsed="false">
      <c r="A269" s="36"/>
      <c r="C269" s="37" t="s">
        <v>367</v>
      </c>
      <c r="D269" s="37"/>
      <c r="F269" s="38" t="n">
        <v>55</v>
      </c>
      <c r="K269" s="39"/>
    </row>
    <row r="270" customFormat="false" ht="15" hidden="false" customHeight="true" outlineLevel="0" collapsed="false">
      <c r="A270" s="32" t="s">
        <v>552</v>
      </c>
      <c r="B270" s="10" t="s">
        <v>553</v>
      </c>
      <c r="C270" s="9" t="s">
        <v>554</v>
      </c>
      <c r="D270" s="9"/>
      <c r="E270" s="10" t="s">
        <v>163</v>
      </c>
      <c r="F270" s="33" t="n">
        <v>30</v>
      </c>
      <c r="G270" s="33" t="n">
        <v>0</v>
      </c>
      <c r="H270" s="33" t="n">
        <f aca="false">F270*AO270</f>
        <v>0</v>
      </c>
      <c r="I270" s="33" t="n">
        <f aca="false">F270*AP270</f>
        <v>0</v>
      </c>
      <c r="J270" s="33" t="n">
        <f aca="false">F270*G270</f>
        <v>0</v>
      </c>
      <c r="K270" s="34" t="s">
        <v>55</v>
      </c>
      <c r="Z270" s="33" t="n">
        <f aca="false">IF(AQ270="5",BJ270,0)</f>
        <v>0</v>
      </c>
      <c r="AB270" s="33" t="n">
        <f aca="false">IF(AQ270="1",BH270,0)</f>
        <v>0</v>
      </c>
      <c r="AC270" s="33" t="n">
        <f aca="false">IF(AQ270="1",BI270,0)</f>
        <v>0</v>
      </c>
      <c r="AD270" s="33" t="n">
        <f aca="false">IF(AQ270="7",BH270,0)</f>
        <v>0</v>
      </c>
      <c r="AE270" s="33" t="n">
        <f aca="false">IF(AQ270="7",BI270,0)</f>
        <v>0</v>
      </c>
      <c r="AF270" s="33" t="n">
        <f aca="false">IF(AQ270="2",BH270,0)</f>
        <v>0</v>
      </c>
      <c r="AG270" s="33" t="n">
        <f aca="false">IF(AQ270="2",BI270,0)</f>
        <v>0</v>
      </c>
      <c r="AH270" s="33" t="n">
        <f aca="false">IF(AQ270="0",BJ270,0)</f>
        <v>0</v>
      </c>
      <c r="AI270" s="18"/>
      <c r="AJ270" s="33" t="n">
        <f aca="false">IF(AN270=0,J270,0)</f>
        <v>0</v>
      </c>
      <c r="AK270" s="33" t="n">
        <f aca="false">IF(AN270=12,J270,0)</f>
        <v>0</v>
      </c>
      <c r="AL270" s="33" t="n">
        <f aca="false">IF(AN270=21,J270,0)</f>
        <v>0</v>
      </c>
      <c r="AN270" s="33" t="n">
        <v>12</v>
      </c>
      <c r="AO270" s="33" t="n">
        <f aca="false">G270*0</f>
        <v>0</v>
      </c>
      <c r="AP270" s="33" t="n">
        <f aca="false">G270*(1-0)</f>
        <v>0</v>
      </c>
      <c r="AQ270" s="35" t="s">
        <v>80</v>
      </c>
      <c r="AV270" s="33" t="n">
        <f aca="false">AW270+AX270</f>
        <v>0</v>
      </c>
      <c r="AW270" s="33" t="n">
        <f aca="false">F270*AO270</f>
        <v>0</v>
      </c>
      <c r="AX270" s="33" t="n">
        <f aca="false">F270*AP270</f>
        <v>0</v>
      </c>
      <c r="AY270" s="35" t="s">
        <v>481</v>
      </c>
      <c r="AZ270" s="35" t="s">
        <v>465</v>
      </c>
      <c r="BA270" s="18" t="s">
        <v>57</v>
      </c>
      <c r="BC270" s="33" t="n">
        <f aca="false">AW270+AX270</f>
        <v>0</v>
      </c>
      <c r="BD270" s="33" t="n">
        <f aca="false">G270/(100-BE270)*100</f>
        <v>0</v>
      </c>
      <c r="BE270" s="33" t="n">
        <v>0</v>
      </c>
      <c r="BF270" s="33" t="n">
        <f aca="false">271</f>
        <v>271</v>
      </c>
      <c r="BH270" s="33" t="n">
        <f aca="false">F270*AO270</f>
        <v>0</v>
      </c>
      <c r="BI270" s="33" t="n">
        <f aca="false">F270*AP270</f>
        <v>0</v>
      </c>
      <c r="BJ270" s="33" t="n">
        <f aca="false">F270*G270</f>
        <v>0</v>
      </c>
      <c r="BK270" s="33"/>
      <c r="BL270" s="33" t="n">
        <v>728</v>
      </c>
      <c r="BW270" s="33" t="n">
        <v>12</v>
      </c>
      <c r="BX270" s="9" t="s">
        <v>554</v>
      </c>
    </row>
    <row r="271" customFormat="false" ht="15" hidden="false" customHeight="false" outlineLevel="0" collapsed="false">
      <c r="A271" s="36"/>
      <c r="C271" s="37" t="s">
        <v>226</v>
      </c>
      <c r="D271" s="37"/>
      <c r="F271" s="38" t="n">
        <v>30</v>
      </c>
      <c r="K271" s="39"/>
    </row>
    <row r="272" customFormat="false" ht="15" hidden="false" customHeight="true" outlineLevel="0" collapsed="false">
      <c r="A272" s="32" t="s">
        <v>555</v>
      </c>
      <c r="B272" s="10" t="s">
        <v>539</v>
      </c>
      <c r="C272" s="9" t="s">
        <v>556</v>
      </c>
      <c r="D272" s="9"/>
      <c r="E272" s="10" t="s">
        <v>163</v>
      </c>
      <c r="F272" s="33" t="n">
        <v>30</v>
      </c>
      <c r="G272" s="33" t="n">
        <v>0</v>
      </c>
      <c r="H272" s="33" t="n">
        <f aca="false">F272*AO272</f>
        <v>0</v>
      </c>
      <c r="I272" s="33" t="n">
        <f aca="false">F272*AP272</f>
        <v>0</v>
      </c>
      <c r="J272" s="33" t="n">
        <f aca="false">F272*G272</f>
        <v>0</v>
      </c>
      <c r="K272" s="34" t="s">
        <v>55</v>
      </c>
      <c r="Z272" s="33" t="n">
        <f aca="false">IF(AQ272="5",BJ272,0)</f>
        <v>0</v>
      </c>
      <c r="AB272" s="33" t="n">
        <f aca="false">IF(AQ272="1",BH272,0)</f>
        <v>0</v>
      </c>
      <c r="AC272" s="33" t="n">
        <f aca="false">IF(AQ272="1",BI272,0)</f>
        <v>0</v>
      </c>
      <c r="AD272" s="33" t="n">
        <f aca="false">IF(AQ272="7",BH272,0)</f>
        <v>0</v>
      </c>
      <c r="AE272" s="33" t="n">
        <f aca="false">IF(AQ272="7",BI272,0)</f>
        <v>0</v>
      </c>
      <c r="AF272" s="33" t="n">
        <f aca="false">IF(AQ272="2",BH272,0)</f>
        <v>0</v>
      </c>
      <c r="AG272" s="33" t="n">
        <f aca="false">IF(AQ272="2",BI272,0)</f>
        <v>0</v>
      </c>
      <c r="AH272" s="33" t="n">
        <f aca="false">IF(AQ272="0",BJ272,0)</f>
        <v>0</v>
      </c>
      <c r="AI272" s="18"/>
      <c r="AJ272" s="33" t="n">
        <f aca="false">IF(AN272=0,J272,0)</f>
        <v>0</v>
      </c>
      <c r="AK272" s="33" t="n">
        <f aca="false">IF(AN272=12,J272,0)</f>
        <v>0</v>
      </c>
      <c r="AL272" s="33" t="n">
        <f aca="false">IF(AN272=21,J272,0)</f>
        <v>0</v>
      </c>
      <c r="AN272" s="33" t="n">
        <v>12</v>
      </c>
      <c r="AO272" s="33" t="n">
        <f aca="false">G272*0.5</f>
        <v>0</v>
      </c>
      <c r="AP272" s="33" t="n">
        <f aca="false">G272*(1-0.5)</f>
        <v>0</v>
      </c>
      <c r="AQ272" s="35" t="s">
        <v>80</v>
      </c>
      <c r="AV272" s="33" t="n">
        <f aca="false">AW272+AX272</f>
        <v>0</v>
      </c>
      <c r="AW272" s="33" t="n">
        <f aca="false">F272*AO272</f>
        <v>0</v>
      </c>
      <c r="AX272" s="33" t="n">
        <f aca="false">F272*AP272</f>
        <v>0</v>
      </c>
      <c r="AY272" s="35" t="s">
        <v>481</v>
      </c>
      <c r="AZ272" s="35" t="s">
        <v>465</v>
      </c>
      <c r="BA272" s="18" t="s">
        <v>57</v>
      </c>
      <c r="BC272" s="33" t="n">
        <f aca="false">AW272+AX272</f>
        <v>0</v>
      </c>
      <c r="BD272" s="33" t="n">
        <f aca="false">G272/(100-BE272)*100</f>
        <v>0</v>
      </c>
      <c r="BE272" s="33" t="n">
        <v>0</v>
      </c>
      <c r="BF272" s="33" t="n">
        <f aca="false">273</f>
        <v>273</v>
      </c>
      <c r="BH272" s="33" t="n">
        <f aca="false">F272*AO272</f>
        <v>0</v>
      </c>
      <c r="BI272" s="33" t="n">
        <f aca="false">F272*AP272</f>
        <v>0</v>
      </c>
      <c r="BJ272" s="33" t="n">
        <f aca="false">F272*G272</f>
        <v>0</v>
      </c>
      <c r="BK272" s="33"/>
      <c r="BL272" s="33" t="n">
        <v>728</v>
      </c>
      <c r="BW272" s="33" t="n">
        <v>12</v>
      </c>
      <c r="BX272" s="9" t="s">
        <v>556</v>
      </c>
    </row>
    <row r="273" customFormat="false" ht="15" hidden="false" customHeight="false" outlineLevel="0" collapsed="false">
      <c r="A273" s="36"/>
      <c r="C273" s="37" t="s">
        <v>226</v>
      </c>
      <c r="D273" s="37"/>
      <c r="F273" s="38" t="n">
        <v>30</v>
      </c>
      <c r="K273" s="39"/>
    </row>
    <row r="274" customFormat="false" ht="25.5" hidden="false" customHeight="true" outlineLevel="0" collapsed="false">
      <c r="A274" s="32" t="s">
        <v>557</v>
      </c>
      <c r="B274" s="10" t="s">
        <v>558</v>
      </c>
      <c r="C274" s="9" t="s">
        <v>559</v>
      </c>
      <c r="D274" s="9"/>
      <c r="E274" s="10" t="s">
        <v>163</v>
      </c>
      <c r="F274" s="33" t="n">
        <v>59</v>
      </c>
      <c r="G274" s="33" t="n">
        <v>0</v>
      </c>
      <c r="H274" s="33" t="n">
        <f aca="false">F274*AO274</f>
        <v>0</v>
      </c>
      <c r="I274" s="33" t="n">
        <f aca="false">F274*AP274</f>
        <v>0</v>
      </c>
      <c r="J274" s="33" t="n">
        <f aca="false">F274*G274</f>
        <v>0</v>
      </c>
      <c r="K274" s="34" t="s">
        <v>84</v>
      </c>
      <c r="Z274" s="33" t="n">
        <f aca="false">IF(AQ274="5",BJ274,0)</f>
        <v>0</v>
      </c>
      <c r="AB274" s="33" t="n">
        <f aca="false">IF(AQ274="1",BH274,0)</f>
        <v>0</v>
      </c>
      <c r="AC274" s="33" t="n">
        <f aca="false">IF(AQ274="1",BI274,0)</f>
        <v>0</v>
      </c>
      <c r="AD274" s="33" t="n">
        <f aca="false">IF(AQ274="7",BH274,0)</f>
        <v>0</v>
      </c>
      <c r="AE274" s="33" t="n">
        <f aca="false">IF(AQ274="7",BI274,0)</f>
        <v>0</v>
      </c>
      <c r="AF274" s="33" t="n">
        <f aca="false">IF(AQ274="2",BH274,0)</f>
        <v>0</v>
      </c>
      <c r="AG274" s="33" t="n">
        <f aca="false">IF(AQ274="2",BI274,0)</f>
        <v>0</v>
      </c>
      <c r="AH274" s="33" t="n">
        <f aca="false">IF(AQ274="0",BJ274,0)</f>
        <v>0</v>
      </c>
      <c r="AI274" s="18"/>
      <c r="AJ274" s="33" t="n">
        <f aca="false">IF(AN274=0,J274,0)</f>
        <v>0</v>
      </c>
      <c r="AK274" s="33" t="n">
        <f aca="false">IF(AN274=12,J274,0)</f>
        <v>0</v>
      </c>
      <c r="AL274" s="33" t="n">
        <f aca="false">IF(AN274=21,J274,0)</f>
        <v>0</v>
      </c>
      <c r="AN274" s="33" t="n">
        <v>12</v>
      </c>
      <c r="AO274" s="33" t="n">
        <f aca="false">G274*1</f>
        <v>0</v>
      </c>
      <c r="AP274" s="33" t="n">
        <f aca="false">G274*(1-1)</f>
        <v>0</v>
      </c>
      <c r="AQ274" s="35" t="s">
        <v>80</v>
      </c>
      <c r="AV274" s="33" t="n">
        <f aca="false">AW274+AX274</f>
        <v>0</v>
      </c>
      <c r="AW274" s="33" t="n">
        <f aca="false">F274*AO274</f>
        <v>0</v>
      </c>
      <c r="AX274" s="33" t="n">
        <f aca="false">F274*AP274</f>
        <v>0</v>
      </c>
      <c r="AY274" s="35" t="s">
        <v>481</v>
      </c>
      <c r="AZ274" s="35" t="s">
        <v>465</v>
      </c>
      <c r="BA274" s="18" t="s">
        <v>57</v>
      </c>
      <c r="BC274" s="33" t="n">
        <f aca="false">AW274+AX274</f>
        <v>0</v>
      </c>
      <c r="BD274" s="33" t="n">
        <f aca="false">G274/(100-BE274)*100</f>
        <v>0</v>
      </c>
      <c r="BE274" s="33" t="n">
        <v>0</v>
      </c>
      <c r="BF274" s="33" t="n">
        <f aca="false">275</f>
        <v>275</v>
      </c>
      <c r="BH274" s="33" t="n">
        <f aca="false">F274*AO274</f>
        <v>0</v>
      </c>
      <c r="BI274" s="33" t="n">
        <f aca="false">F274*AP274</f>
        <v>0</v>
      </c>
      <c r="BJ274" s="33" t="n">
        <f aca="false">F274*G274</f>
        <v>0</v>
      </c>
      <c r="BK274" s="33"/>
      <c r="BL274" s="33" t="n">
        <v>728</v>
      </c>
      <c r="BW274" s="33" t="n">
        <v>12</v>
      </c>
      <c r="BX274" s="9" t="s">
        <v>559</v>
      </c>
    </row>
    <row r="275" customFormat="false" ht="15" hidden="false" customHeight="true" outlineLevel="0" collapsed="false">
      <c r="A275" s="32" t="s">
        <v>560</v>
      </c>
      <c r="B275" s="10" t="s">
        <v>543</v>
      </c>
      <c r="C275" s="9" t="s">
        <v>561</v>
      </c>
      <c r="D275" s="9"/>
      <c r="E275" s="10" t="s">
        <v>163</v>
      </c>
      <c r="F275" s="33" t="n">
        <v>10</v>
      </c>
      <c r="G275" s="33" t="n">
        <v>0</v>
      </c>
      <c r="H275" s="33" t="n">
        <f aca="false">F275*AO275</f>
        <v>0</v>
      </c>
      <c r="I275" s="33" t="n">
        <f aca="false">F275*AP275</f>
        <v>0</v>
      </c>
      <c r="J275" s="33" t="n">
        <f aca="false">F275*G275</f>
        <v>0</v>
      </c>
      <c r="K275" s="34" t="s">
        <v>303</v>
      </c>
      <c r="Z275" s="33" t="n">
        <f aca="false">IF(AQ275="5",BJ275,0)</f>
        <v>0</v>
      </c>
      <c r="AB275" s="33" t="n">
        <f aca="false">IF(AQ275="1",BH275,0)</f>
        <v>0</v>
      </c>
      <c r="AC275" s="33" t="n">
        <f aca="false">IF(AQ275="1",BI275,0)</f>
        <v>0</v>
      </c>
      <c r="AD275" s="33" t="n">
        <f aca="false">IF(AQ275="7",BH275,0)</f>
        <v>0</v>
      </c>
      <c r="AE275" s="33" t="n">
        <f aca="false">IF(AQ275="7",BI275,0)</f>
        <v>0</v>
      </c>
      <c r="AF275" s="33" t="n">
        <f aca="false">IF(AQ275="2",BH275,0)</f>
        <v>0</v>
      </c>
      <c r="AG275" s="33" t="n">
        <f aca="false">IF(AQ275="2",BI275,0)</f>
        <v>0</v>
      </c>
      <c r="AH275" s="33" t="n">
        <f aca="false">IF(AQ275="0",BJ275,0)</f>
        <v>0</v>
      </c>
      <c r="AI275" s="18"/>
      <c r="AJ275" s="33" t="n">
        <f aca="false">IF(AN275=0,J275,0)</f>
        <v>0</v>
      </c>
      <c r="AK275" s="33" t="n">
        <f aca="false">IF(AN275=12,J275,0)</f>
        <v>0</v>
      </c>
      <c r="AL275" s="33" t="n">
        <f aca="false">IF(AN275=21,J275,0)</f>
        <v>0</v>
      </c>
      <c r="AN275" s="33" t="n">
        <v>12</v>
      </c>
      <c r="AO275" s="33" t="n">
        <f aca="false">G275*0</f>
        <v>0</v>
      </c>
      <c r="AP275" s="33" t="n">
        <f aca="false">G275*(1-0)</f>
        <v>0</v>
      </c>
      <c r="AQ275" s="35" t="s">
        <v>80</v>
      </c>
      <c r="AV275" s="33" t="n">
        <f aca="false">AW275+AX275</f>
        <v>0</v>
      </c>
      <c r="AW275" s="33" t="n">
        <f aca="false">F275*AO275</f>
        <v>0</v>
      </c>
      <c r="AX275" s="33" t="n">
        <f aca="false">F275*AP275</f>
        <v>0</v>
      </c>
      <c r="AY275" s="35" t="s">
        <v>481</v>
      </c>
      <c r="AZ275" s="35" t="s">
        <v>465</v>
      </c>
      <c r="BA275" s="18" t="s">
        <v>57</v>
      </c>
      <c r="BC275" s="33" t="n">
        <f aca="false">AW275+AX275</f>
        <v>0</v>
      </c>
      <c r="BD275" s="33" t="n">
        <f aca="false">G275/(100-BE275)*100</f>
        <v>0</v>
      </c>
      <c r="BE275" s="33" t="n">
        <v>0</v>
      </c>
      <c r="BF275" s="33" t="n">
        <f aca="false">276</f>
        <v>276</v>
      </c>
      <c r="BH275" s="33" t="n">
        <f aca="false">F275*AO275</f>
        <v>0</v>
      </c>
      <c r="BI275" s="33" t="n">
        <f aca="false">F275*AP275</f>
        <v>0</v>
      </c>
      <c r="BJ275" s="33" t="n">
        <f aca="false">F275*G275</f>
        <v>0</v>
      </c>
      <c r="BK275" s="33"/>
      <c r="BL275" s="33" t="n">
        <v>728</v>
      </c>
      <c r="BW275" s="33" t="n">
        <v>12</v>
      </c>
      <c r="BX275" s="9" t="s">
        <v>561</v>
      </c>
    </row>
    <row r="276" customFormat="false" ht="15" hidden="false" customHeight="false" outlineLevel="0" collapsed="false">
      <c r="A276" s="36"/>
      <c r="C276" s="37" t="s">
        <v>104</v>
      </c>
      <c r="D276" s="37"/>
      <c r="F276" s="38" t="n">
        <v>10</v>
      </c>
      <c r="K276" s="39"/>
    </row>
    <row r="277" customFormat="false" ht="15" hidden="false" customHeight="true" outlineLevel="0" collapsed="false">
      <c r="A277" s="32" t="s">
        <v>562</v>
      </c>
      <c r="B277" s="10" t="s">
        <v>563</v>
      </c>
      <c r="C277" s="9" t="s">
        <v>564</v>
      </c>
      <c r="D277" s="9"/>
      <c r="E277" s="10" t="s">
        <v>172</v>
      </c>
      <c r="F277" s="33" t="n">
        <v>1.343</v>
      </c>
      <c r="G277" s="33" t="n">
        <v>0</v>
      </c>
      <c r="H277" s="33" t="n">
        <f aca="false">F277*AO277</f>
        <v>0</v>
      </c>
      <c r="I277" s="33" t="n">
        <f aca="false">F277*AP277</f>
        <v>0</v>
      </c>
      <c r="J277" s="33" t="n">
        <f aca="false">F277*G277</f>
        <v>0</v>
      </c>
      <c r="K277" s="34" t="s">
        <v>55</v>
      </c>
      <c r="Z277" s="33" t="n">
        <f aca="false">IF(AQ277="5",BJ277,0)</f>
        <v>0</v>
      </c>
      <c r="AB277" s="33" t="n">
        <f aca="false">IF(AQ277="1",BH277,0)</f>
        <v>0</v>
      </c>
      <c r="AC277" s="33" t="n">
        <f aca="false">IF(AQ277="1",BI277,0)</f>
        <v>0</v>
      </c>
      <c r="AD277" s="33" t="n">
        <f aca="false">IF(AQ277="7",BH277,0)</f>
        <v>0</v>
      </c>
      <c r="AE277" s="33" t="n">
        <f aca="false">IF(AQ277="7",BI277,0)</f>
        <v>0</v>
      </c>
      <c r="AF277" s="33" t="n">
        <f aca="false">IF(AQ277="2",BH277,0)</f>
        <v>0</v>
      </c>
      <c r="AG277" s="33" t="n">
        <f aca="false">IF(AQ277="2",BI277,0)</f>
        <v>0</v>
      </c>
      <c r="AH277" s="33" t="n">
        <f aca="false">IF(AQ277="0",BJ277,0)</f>
        <v>0</v>
      </c>
      <c r="AI277" s="18"/>
      <c r="AJ277" s="33" t="n">
        <f aca="false">IF(AN277=0,J277,0)</f>
        <v>0</v>
      </c>
      <c r="AK277" s="33" t="n">
        <f aca="false">IF(AN277=12,J277,0)</f>
        <v>0</v>
      </c>
      <c r="AL277" s="33" t="n">
        <f aca="false">IF(AN277=21,J277,0)</f>
        <v>0</v>
      </c>
      <c r="AN277" s="33" t="n">
        <v>12</v>
      </c>
      <c r="AO277" s="33" t="n">
        <f aca="false">G277*0</f>
        <v>0</v>
      </c>
      <c r="AP277" s="33" t="n">
        <f aca="false">G277*(1-0)</f>
        <v>0</v>
      </c>
      <c r="AQ277" s="35" t="s">
        <v>68</v>
      </c>
      <c r="AV277" s="33" t="n">
        <f aca="false">AW277+AX277</f>
        <v>0</v>
      </c>
      <c r="AW277" s="33" t="n">
        <f aca="false">F277*AO277</f>
        <v>0</v>
      </c>
      <c r="AX277" s="33" t="n">
        <f aca="false">F277*AP277</f>
        <v>0</v>
      </c>
      <c r="AY277" s="35" t="s">
        <v>481</v>
      </c>
      <c r="AZ277" s="35" t="s">
        <v>465</v>
      </c>
      <c r="BA277" s="18" t="s">
        <v>57</v>
      </c>
      <c r="BC277" s="33" t="n">
        <f aca="false">AW277+AX277</f>
        <v>0</v>
      </c>
      <c r="BD277" s="33" t="n">
        <f aca="false">G277/(100-BE277)*100</f>
        <v>0</v>
      </c>
      <c r="BE277" s="33" t="n">
        <v>0</v>
      </c>
      <c r="BF277" s="33" t="n">
        <f aca="false">278</f>
        <v>278</v>
      </c>
      <c r="BH277" s="33" t="n">
        <f aca="false">F277*AO277</f>
        <v>0</v>
      </c>
      <c r="BI277" s="33" t="n">
        <f aca="false">F277*AP277</f>
        <v>0</v>
      </c>
      <c r="BJ277" s="33" t="n">
        <f aca="false">F277*G277</f>
        <v>0</v>
      </c>
      <c r="BK277" s="33"/>
      <c r="BL277" s="33" t="n">
        <v>728</v>
      </c>
      <c r="BW277" s="33" t="n">
        <v>12</v>
      </c>
      <c r="BX277" s="9" t="s">
        <v>564</v>
      </c>
    </row>
    <row r="278" customFormat="false" ht="15" hidden="false" customHeight="false" outlineLevel="0" collapsed="false">
      <c r="A278" s="36"/>
      <c r="C278" s="37" t="s">
        <v>565</v>
      </c>
      <c r="D278" s="37"/>
      <c r="F278" s="38" t="n">
        <v>1.343</v>
      </c>
      <c r="K278" s="39"/>
    </row>
    <row r="279" customFormat="false" ht="15" hidden="false" customHeight="true" outlineLevel="0" collapsed="false">
      <c r="A279" s="27"/>
      <c r="B279" s="28" t="s">
        <v>566</v>
      </c>
      <c r="C279" s="29" t="s">
        <v>567</v>
      </c>
      <c r="D279" s="29"/>
      <c r="E279" s="30" t="s">
        <v>4</v>
      </c>
      <c r="F279" s="30" t="s">
        <v>4</v>
      </c>
      <c r="G279" s="30" t="s">
        <v>4</v>
      </c>
      <c r="H279" s="2" t="n">
        <f aca="false">SUM(H280:H294)</f>
        <v>0</v>
      </c>
      <c r="I279" s="2" t="n">
        <f aca="false">SUM(I280:I294)</f>
        <v>0</v>
      </c>
      <c r="J279" s="2" t="n">
        <f aca="false">SUM(J280:J294)</f>
        <v>0</v>
      </c>
      <c r="K279" s="31"/>
      <c r="AI279" s="18"/>
      <c r="AS279" s="2" t="n">
        <f aca="false">SUM(AJ280:AJ294)</f>
        <v>0</v>
      </c>
      <c r="AT279" s="2" t="n">
        <f aca="false">SUM(AK280:AK294)</f>
        <v>0</v>
      </c>
      <c r="AU279" s="2" t="n">
        <f aca="false">SUM(AL280:AL294)</f>
        <v>0</v>
      </c>
    </row>
    <row r="280" customFormat="false" ht="15" hidden="false" customHeight="true" outlineLevel="0" collapsed="false">
      <c r="A280" s="32" t="s">
        <v>568</v>
      </c>
      <c r="B280" s="10" t="s">
        <v>569</v>
      </c>
      <c r="C280" s="9" t="s">
        <v>570</v>
      </c>
      <c r="D280" s="9"/>
      <c r="E280" s="10" t="s">
        <v>83</v>
      </c>
      <c r="F280" s="33" t="n">
        <v>83.6</v>
      </c>
      <c r="G280" s="33" t="n">
        <v>0</v>
      </c>
      <c r="H280" s="33" t="n">
        <f aca="false">F280*AO280</f>
        <v>0</v>
      </c>
      <c r="I280" s="33" t="n">
        <f aca="false">F280*AP280</f>
        <v>0</v>
      </c>
      <c r="J280" s="33" t="n">
        <f aca="false">F280*G280</f>
        <v>0</v>
      </c>
      <c r="K280" s="34" t="s">
        <v>55</v>
      </c>
      <c r="Z280" s="33" t="n">
        <f aca="false">IF(AQ280="5",BJ280,0)</f>
        <v>0</v>
      </c>
      <c r="AB280" s="33" t="n">
        <f aca="false">IF(AQ280="1",BH280,0)</f>
        <v>0</v>
      </c>
      <c r="AC280" s="33" t="n">
        <f aca="false">IF(AQ280="1",BI280,0)</f>
        <v>0</v>
      </c>
      <c r="AD280" s="33" t="n">
        <f aca="false">IF(AQ280="7",BH280,0)</f>
        <v>0</v>
      </c>
      <c r="AE280" s="33" t="n">
        <f aca="false">IF(AQ280="7",BI280,0)</f>
        <v>0</v>
      </c>
      <c r="AF280" s="33" t="n">
        <f aca="false">IF(AQ280="2",BH280,0)</f>
        <v>0</v>
      </c>
      <c r="AG280" s="33" t="n">
        <f aca="false">IF(AQ280="2",BI280,0)</f>
        <v>0</v>
      </c>
      <c r="AH280" s="33" t="n">
        <f aca="false">IF(AQ280="0",BJ280,0)</f>
        <v>0</v>
      </c>
      <c r="AI280" s="18"/>
      <c r="AJ280" s="33" t="n">
        <f aca="false">IF(AN280=0,J280,0)</f>
        <v>0</v>
      </c>
      <c r="AK280" s="33" t="n">
        <f aca="false">IF(AN280=12,J280,0)</f>
        <v>0</v>
      </c>
      <c r="AL280" s="33" t="n">
        <f aca="false">IF(AN280=21,J280,0)</f>
        <v>0</v>
      </c>
      <c r="AN280" s="33" t="n">
        <v>12</v>
      </c>
      <c r="AO280" s="33" t="n">
        <f aca="false">G280*0.009329073</f>
        <v>0</v>
      </c>
      <c r="AP280" s="33" t="n">
        <f aca="false">G280*(1-0.009329073)</f>
        <v>0</v>
      </c>
      <c r="AQ280" s="35" t="s">
        <v>80</v>
      </c>
      <c r="AV280" s="33" t="n">
        <f aca="false">AW280+AX280</f>
        <v>0</v>
      </c>
      <c r="AW280" s="33" t="n">
        <f aca="false">F280*AO280</f>
        <v>0</v>
      </c>
      <c r="AX280" s="33" t="n">
        <f aca="false">F280*AP280</f>
        <v>0</v>
      </c>
      <c r="AY280" s="35" t="s">
        <v>571</v>
      </c>
      <c r="AZ280" s="35" t="s">
        <v>371</v>
      </c>
      <c r="BA280" s="18" t="s">
        <v>57</v>
      </c>
      <c r="BC280" s="33" t="n">
        <f aca="false">AW280+AX280</f>
        <v>0</v>
      </c>
      <c r="BD280" s="33" t="n">
        <f aca="false">G280/(100-BE280)*100</f>
        <v>0</v>
      </c>
      <c r="BE280" s="33" t="n">
        <v>0</v>
      </c>
      <c r="BF280" s="33" t="n">
        <f aca="false">281</f>
        <v>281</v>
      </c>
      <c r="BH280" s="33" t="n">
        <f aca="false">F280*AO280</f>
        <v>0</v>
      </c>
      <c r="BI280" s="33" t="n">
        <f aca="false">F280*AP280</f>
        <v>0</v>
      </c>
      <c r="BJ280" s="33" t="n">
        <f aca="false">F280*G280</f>
        <v>0</v>
      </c>
      <c r="BK280" s="33"/>
      <c r="BL280" s="33" t="n">
        <v>762</v>
      </c>
      <c r="BW280" s="33" t="n">
        <v>12</v>
      </c>
      <c r="BX280" s="9" t="s">
        <v>570</v>
      </c>
    </row>
    <row r="281" customFormat="false" ht="15" hidden="false" customHeight="false" outlineLevel="0" collapsed="false">
      <c r="A281" s="36"/>
      <c r="C281" s="37" t="s">
        <v>572</v>
      </c>
      <c r="D281" s="37" t="s">
        <v>573</v>
      </c>
      <c r="F281" s="38" t="n">
        <v>83.6</v>
      </c>
      <c r="K281" s="39"/>
    </row>
    <row r="282" customFormat="false" ht="15" hidden="false" customHeight="true" outlineLevel="0" collapsed="false">
      <c r="A282" s="32" t="s">
        <v>574</v>
      </c>
      <c r="B282" s="10" t="s">
        <v>575</v>
      </c>
      <c r="C282" s="9" t="s">
        <v>576</v>
      </c>
      <c r="D282" s="9"/>
      <c r="E282" s="10" t="s">
        <v>91</v>
      </c>
      <c r="F282" s="33" t="n">
        <v>83.6</v>
      </c>
      <c r="G282" s="33" t="n">
        <v>0</v>
      </c>
      <c r="H282" s="33" t="n">
        <f aca="false">F282*AO282</f>
        <v>0</v>
      </c>
      <c r="I282" s="33" t="n">
        <f aca="false">F282*AP282</f>
        <v>0</v>
      </c>
      <c r="J282" s="33" t="n">
        <f aca="false">F282*G282</f>
        <v>0</v>
      </c>
      <c r="K282" s="34" t="s">
        <v>84</v>
      </c>
      <c r="Z282" s="33" t="n">
        <f aca="false">IF(AQ282="5",BJ282,0)</f>
        <v>0</v>
      </c>
      <c r="AB282" s="33" t="n">
        <f aca="false">IF(AQ282="1",BH282,0)</f>
        <v>0</v>
      </c>
      <c r="AC282" s="33" t="n">
        <f aca="false">IF(AQ282="1",BI282,0)</f>
        <v>0</v>
      </c>
      <c r="AD282" s="33" t="n">
        <f aca="false">IF(AQ282="7",BH282,0)</f>
        <v>0</v>
      </c>
      <c r="AE282" s="33" t="n">
        <f aca="false">IF(AQ282="7",BI282,0)</f>
        <v>0</v>
      </c>
      <c r="AF282" s="33" t="n">
        <f aca="false">IF(AQ282="2",BH282,0)</f>
        <v>0</v>
      </c>
      <c r="AG282" s="33" t="n">
        <f aca="false">IF(AQ282="2",BI282,0)</f>
        <v>0</v>
      </c>
      <c r="AH282" s="33" t="n">
        <f aca="false">IF(AQ282="0",BJ282,0)</f>
        <v>0</v>
      </c>
      <c r="AI282" s="18"/>
      <c r="AJ282" s="33" t="n">
        <f aca="false">IF(AN282=0,J282,0)</f>
        <v>0</v>
      </c>
      <c r="AK282" s="33" t="n">
        <f aca="false">IF(AN282=12,J282,0)</f>
        <v>0</v>
      </c>
      <c r="AL282" s="33" t="n">
        <f aca="false">IF(AN282=21,J282,0)</f>
        <v>0</v>
      </c>
      <c r="AN282" s="33" t="n">
        <v>12</v>
      </c>
      <c r="AO282" s="33" t="n">
        <f aca="false">G282*0.658186203</f>
        <v>0</v>
      </c>
      <c r="AP282" s="33" t="n">
        <f aca="false">G282*(1-0.658186203)</f>
        <v>0</v>
      </c>
      <c r="AQ282" s="35" t="s">
        <v>80</v>
      </c>
      <c r="AV282" s="33" t="n">
        <f aca="false">AW282+AX282</f>
        <v>0</v>
      </c>
      <c r="AW282" s="33" t="n">
        <f aca="false">F282*AO282</f>
        <v>0</v>
      </c>
      <c r="AX282" s="33" t="n">
        <f aca="false">F282*AP282</f>
        <v>0</v>
      </c>
      <c r="AY282" s="35" t="s">
        <v>571</v>
      </c>
      <c r="AZ282" s="35" t="s">
        <v>371</v>
      </c>
      <c r="BA282" s="18" t="s">
        <v>57</v>
      </c>
      <c r="BC282" s="33" t="n">
        <f aca="false">AW282+AX282</f>
        <v>0</v>
      </c>
      <c r="BD282" s="33" t="n">
        <f aca="false">G282/(100-BE282)*100</f>
        <v>0</v>
      </c>
      <c r="BE282" s="33" t="n">
        <v>0</v>
      </c>
      <c r="BF282" s="33" t="n">
        <f aca="false">283</f>
        <v>283</v>
      </c>
      <c r="BH282" s="33" t="n">
        <f aca="false">F282*AO282</f>
        <v>0</v>
      </c>
      <c r="BI282" s="33" t="n">
        <f aca="false">F282*AP282</f>
        <v>0</v>
      </c>
      <c r="BJ282" s="33" t="n">
        <f aca="false">F282*G282</f>
        <v>0</v>
      </c>
      <c r="BK282" s="33"/>
      <c r="BL282" s="33" t="n">
        <v>762</v>
      </c>
      <c r="BW282" s="33" t="n">
        <v>12</v>
      </c>
      <c r="BX282" s="9" t="s">
        <v>576</v>
      </c>
    </row>
    <row r="283" customFormat="false" ht="15" hidden="false" customHeight="false" outlineLevel="0" collapsed="false">
      <c r="A283" s="36"/>
      <c r="C283" s="37" t="s">
        <v>577</v>
      </c>
      <c r="D283" s="37" t="s">
        <v>578</v>
      </c>
      <c r="F283" s="38" t="n">
        <v>83.6</v>
      </c>
      <c r="K283" s="39"/>
    </row>
    <row r="284" customFormat="false" ht="15" hidden="false" customHeight="true" outlineLevel="0" collapsed="false">
      <c r="A284" s="32" t="s">
        <v>579</v>
      </c>
      <c r="B284" s="10" t="s">
        <v>580</v>
      </c>
      <c r="C284" s="9" t="s">
        <v>581</v>
      </c>
      <c r="D284" s="9"/>
      <c r="E284" s="10" t="s">
        <v>83</v>
      </c>
      <c r="F284" s="33" t="n">
        <v>52.8</v>
      </c>
      <c r="G284" s="33" t="n">
        <v>0</v>
      </c>
      <c r="H284" s="33" t="n">
        <f aca="false">F284*AO284</f>
        <v>0</v>
      </c>
      <c r="I284" s="33" t="n">
        <f aca="false">F284*AP284</f>
        <v>0</v>
      </c>
      <c r="J284" s="33" t="n">
        <f aca="false">F284*G284</f>
        <v>0</v>
      </c>
      <c r="K284" s="34" t="s">
        <v>84</v>
      </c>
      <c r="Z284" s="33" t="n">
        <f aca="false">IF(AQ284="5",BJ284,0)</f>
        <v>0</v>
      </c>
      <c r="AB284" s="33" t="n">
        <f aca="false">IF(AQ284="1",BH284,0)</f>
        <v>0</v>
      </c>
      <c r="AC284" s="33" t="n">
        <f aca="false">IF(AQ284="1",BI284,0)</f>
        <v>0</v>
      </c>
      <c r="AD284" s="33" t="n">
        <f aca="false">IF(AQ284="7",BH284,0)</f>
        <v>0</v>
      </c>
      <c r="AE284" s="33" t="n">
        <f aca="false">IF(AQ284="7",BI284,0)</f>
        <v>0</v>
      </c>
      <c r="AF284" s="33" t="n">
        <f aca="false">IF(AQ284="2",BH284,0)</f>
        <v>0</v>
      </c>
      <c r="AG284" s="33" t="n">
        <f aca="false">IF(AQ284="2",BI284,0)</f>
        <v>0</v>
      </c>
      <c r="AH284" s="33" t="n">
        <f aca="false">IF(AQ284="0",BJ284,0)</f>
        <v>0</v>
      </c>
      <c r="AI284" s="18"/>
      <c r="AJ284" s="33" t="n">
        <f aca="false">IF(AN284=0,J284,0)</f>
        <v>0</v>
      </c>
      <c r="AK284" s="33" t="n">
        <f aca="false">IF(AN284=12,J284,0)</f>
        <v>0</v>
      </c>
      <c r="AL284" s="33" t="n">
        <f aca="false">IF(AN284=21,J284,0)</f>
        <v>0</v>
      </c>
      <c r="AN284" s="33" t="n">
        <v>12</v>
      </c>
      <c r="AO284" s="33" t="n">
        <f aca="false">G284*0.067606616</f>
        <v>0</v>
      </c>
      <c r="AP284" s="33" t="n">
        <f aca="false">G284*(1-0.067606616)</f>
        <v>0</v>
      </c>
      <c r="AQ284" s="35" t="s">
        <v>80</v>
      </c>
      <c r="AV284" s="33" t="n">
        <f aca="false">AW284+AX284</f>
        <v>0</v>
      </c>
      <c r="AW284" s="33" t="n">
        <f aca="false">F284*AO284</f>
        <v>0</v>
      </c>
      <c r="AX284" s="33" t="n">
        <f aca="false">F284*AP284</f>
        <v>0</v>
      </c>
      <c r="AY284" s="35" t="s">
        <v>571</v>
      </c>
      <c r="AZ284" s="35" t="s">
        <v>371</v>
      </c>
      <c r="BA284" s="18" t="s">
        <v>57</v>
      </c>
      <c r="BC284" s="33" t="n">
        <f aca="false">AW284+AX284</f>
        <v>0</v>
      </c>
      <c r="BD284" s="33" t="n">
        <f aca="false">G284/(100-BE284)*100</f>
        <v>0</v>
      </c>
      <c r="BE284" s="33" t="n">
        <v>0</v>
      </c>
      <c r="BF284" s="33" t="n">
        <f aca="false">285</f>
        <v>285</v>
      </c>
      <c r="BH284" s="33" t="n">
        <f aca="false">F284*AO284</f>
        <v>0</v>
      </c>
      <c r="BI284" s="33" t="n">
        <f aca="false">F284*AP284</f>
        <v>0</v>
      </c>
      <c r="BJ284" s="33" t="n">
        <f aca="false">F284*G284</f>
        <v>0</v>
      </c>
      <c r="BK284" s="33"/>
      <c r="BL284" s="33" t="n">
        <v>762</v>
      </c>
      <c r="BW284" s="33" t="n">
        <v>12</v>
      </c>
      <c r="BX284" s="9" t="s">
        <v>581</v>
      </c>
    </row>
    <row r="285" customFormat="false" ht="15" hidden="false" customHeight="false" outlineLevel="0" collapsed="false">
      <c r="A285" s="36"/>
      <c r="C285" s="37" t="s">
        <v>582</v>
      </c>
      <c r="D285" s="37" t="s">
        <v>583</v>
      </c>
      <c r="F285" s="38" t="n">
        <v>52.8</v>
      </c>
      <c r="K285" s="39"/>
    </row>
    <row r="286" customFormat="false" ht="15" hidden="false" customHeight="true" outlineLevel="0" collapsed="false">
      <c r="A286" s="32" t="s">
        <v>584</v>
      </c>
      <c r="B286" s="10" t="s">
        <v>585</v>
      </c>
      <c r="C286" s="9" t="s">
        <v>586</v>
      </c>
      <c r="D286" s="9"/>
      <c r="E286" s="10" t="s">
        <v>83</v>
      </c>
      <c r="F286" s="33" t="n">
        <v>31.6992</v>
      </c>
      <c r="G286" s="33" t="n">
        <v>0</v>
      </c>
      <c r="H286" s="33" t="n">
        <f aca="false">F286*AO286</f>
        <v>0</v>
      </c>
      <c r="I286" s="33" t="n">
        <f aca="false">F286*AP286</f>
        <v>0</v>
      </c>
      <c r="J286" s="33" t="n">
        <f aca="false">F286*G286</f>
        <v>0</v>
      </c>
      <c r="K286" s="34" t="s">
        <v>84</v>
      </c>
      <c r="Z286" s="33" t="n">
        <f aca="false">IF(AQ286="5",BJ286,0)</f>
        <v>0</v>
      </c>
      <c r="AB286" s="33" t="n">
        <f aca="false">IF(AQ286="1",BH286,0)</f>
        <v>0</v>
      </c>
      <c r="AC286" s="33" t="n">
        <f aca="false">IF(AQ286="1",BI286,0)</f>
        <v>0</v>
      </c>
      <c r="AD286" s="33" t="n">
        <f aca="false">IF(AQ286="7",BH286,0)</f>
        <v>0</v>
      </c>
      <c r="AE286" s="33" t="n">
        <f aca="false">IF(AQ286="7",BI286,0)</f>
        <v>0</v>
      </c>
      <c r="AF286" s="33" t="n">
        <f aca="false">IF(AQ286="2",BH286,0)</f>
        <v>0</v>
      </c>
      <c r="AG286" s="33" t="n">
        <f aca="false">IF(AQ286="2",BI286,0)</f>
        <v>0</v>
      </c>
      <c r="AH286" s="33" t="n">
        <f aca="false">IF(AQ286="0",BJ286,0)</f>
        <v>0</v>
      </c>
      <c r="AI286" s="18"/>
      <c r="AJ286" s="33" t="n">
        <f aca="false">IF(AN286=0,J286,0)</f>
        <v>0</v>
      </c>
      <c r="AK286" s="33" t="n">
        <f aca="false">IF(AN286=12,J286,0)</f>
        <v>0</v>
      </c>
      <c r="AL286" s="33" t="n">
        <f aca="false">IF(AN286=21,J286,0)</f>
        <v>0</v>
      </c>
      <c r="AN286" s="33" t="n">
        <v>12</v>
      </c>
      <c r="AO286" s="33" t="n">
        <f aca="false">G286*1</f>
        <v>0</v>
      </c>
      <c r="AP286" s="33" t="n">
        <f aca="false">G286*(1-1)</f>
        <v>0</v>
      </c>
      <c r="AQ286" s="35" t="s">
        <v>80</v>
      </c>
      <c r="AV286" s="33" t="n">
        <f aca="false">AW286+AX286</f>
        <v>0</v>
      </c>
      <c r="AW286" s="33" t="n">
        <f aca="false">F286*AO286</f>
        <v>0</v>
      </c>
      <c r="AX286" s="33" t="n">
        <f aca="false">F286*AP286</f>
        <v>0</v>
      </c>
      <c r="AY286" s="35" t="s">
        <v>571</v>
      </c>
      <c r="AZ286" s="35" t="s">
        <v>371</v>
      </c>
      <c r="BA286" s="18" t="s">
        <v>57</v>
      </c>
      <c r="BC286" s="33" t="n">
        <f aca="false">AW286+AX286</f>
        <v>0</v>
      </c>
      <c r="BD286" s="33" t="n">
        <f aca="false">G286/(100-BE286)*100</f>
        <v>0</v>
      </c>
      <c r="BE286" s="33" t="n">
        <v>0</v>
      </c>
      <c r="BF286" s="33" t="n">
        <f aca="false">287</f>
        <v>287</v>
      </c>
      <c r="BH286" s="33" t="n">
        <f aca="false">F286*AO286</f>
        <v>0</v>
      </c>
      <c r="BI286" s="33" t="n">
        <f aca="false">F286*AP286</f>
        <v>0</v>
      </c>
      <c r="BJ286" s="33" t="n">
        <f aca="false">F286*G286</f>
        <v>0</v>
      </c>
      <c r="BK286" s="33"/>
      <c r="BL286" s="33" t="n">
        <v>762</v>
      </c>
      <c r="BW286" s="33" t="n">
        <v>12</v>
      </c>
      <c r="BX286" s="9" t="s">
        <v>586</v>
      </c>
    </row>
    <row r="287" customFormat="false" ht="15" hidden="false" customHeight="false" outlineLevel="0" collapsed="false">
      <c r="A287" s="36"/>
      <c r="C287" s="37" t="s">
        <v>587</v>
      </c>
      <c r="D287" s="37" t="s">
        <v>588</v>
      </c>
      <c r="F287" s="38" t="n">
        <v>30.48</v>
      </c>
      <c r="K287" s="39"/>
    </row>
    <row r="288" customFormat="false" ht="15" hidden="false" customHeight="false" outlineLevel="0" collapsed="false">
      <c r="A288" s="36"/>
      <c r="C288" s="37" t="s">
        <v>589</v>
      </c>
      <c r="D288" s="37"/>
      <c r="F288" s="38" t="n">
        <v>1.2192</v>
      </c>
      <c r="K288" s="39"/>
    </row>
    <row r="289" customFormat="false" ht="15" hidden="false" customHeight="true" outlineLevel="0" collapsed="false">
      <c r="A289" s="32" t="s">
        <v>590</v>
      </c>
      <c r="B289" s="10" t="s">
        <v>591</v>
      </c>
      <c r="C289" s="9" t="s">
        <v>592</v>
      </c>
      <c r="D289" s="9"/>
      <c r="E289" s="10" t="s">
        <v>83</v>
      </c>
      <c r="F289" s="33" t="n">
        <v>86.944</v>
      </c>
      <c r="G289" s="33" t="n">
        <v>0</v>
      </c>
      <c r="H289" s="33" t="n">
        <f aca="false">F289*AO289</f>
        <v>0</v>
      </c>
      <c r="I289" s="33" t="n">
        <f aca="false">F289*AP289</f>
        <v>0</v>
      </c>
      <c r="J289" s="33" t="n">
        <f aca="false">F289*G289</f>
        <v>0</v>
      </c>
      <c r="K289" s="34" t="s">
        <v>303</v>
      </c>
      <c r="Z289" s="33" t="n">
        <f aca="false">IF(AQ289="5",BJ289,0)</f>
        <v>0</v>
      </c>
      <c r="AB289" s="33" t="n">
        <f aca="false">IF(AQ289="1",BH289,0)</f>
        <v>0</v>
      </c>
      <c r="AC289" s="33" t="n">
        <f aca="false">IF(AQ289="1",BI289,0)</f>
        <v>0</v>
      </c>
      <c r="AD289" s="33" t="n">
        <f aca="false">IF(AQ289="7",BH289,0)</f>
        <v>0</v>
      </c>
      <c r="AE289" s="33" t="n">
        <f aca="false">IF(AQ289="7",BI289,0)</f>
        <v>0</v>
      </c>
      <c r="AF289" s="33" t="n">
        <f aca="false">IF(AQ289="2",BH289,0)</f>
        <v>0</v>
      </c>
      <c r="AG289" s="33" t="n">
        <f aca="false">IF(AQ289="2",BI289,0)</f>
        <v>0</v>
      </c>
      <c r="AH289" s="33" t="n">
        <f aca="false">IF(AQ289="0",BJ289,0)</f>
        <v>0</v>
      </c>
      <c r="AI289" s="18"/>
      <c r="AJ289" s="33" t="n">
        <f aca="false">IF(AN289=0,J289,0)</f>
        <v>0</v>
      </c>
      <c r="AK289" s="33" t="n">
        <f aca="false">IF(AN289=12,J289,0)</f>
        <v>0</v>
      </c>
      <c r="AL289" s="33" t="n">
        <f aca="false">IF(AN289=21,J289,0)</f>
        <v>0</v>
      </c>
      <c r="AN289" s="33" t="n">
        <v>12</v>
      </c>
      <c r="AO289" s="33" t="n">
        <f aca="false">G289*1</f>
        <v>0</v>
      </c>
      <c r="AP289" s="33" t="n">
        <f aca="false">G289*(1-1)</f>
        <v>0</v>
      </c>
      <c r="AQ289" s="35" t="s">
        <v>80</v>
      </c>
      <c r="AV289" s="33" t="n">
        <f aca="false">AW289+AX289</f>
        <v>0</v>
      </c>
      <c r="AW289" s="33" t="n">
        <f aca="false">F289*AO289</f>
        <v>0</v>
      </c>
      <c r="AX289" s="33" t="n">
        <f aca="false">F289*AP289</f>
        <v>0</v>
      </c>
      <c r="AY289" s="35" t="s">
        <v>571</v>
      </c>
      <c r="AZ289" s="35" t="s">
        <v>371</v>
      </c>
      <c r="BA289" s="18" t="s">
        <v>57</v>
      </c>
      <c r="BC289" s="33" t="n">
        <f aca="false">AW289+AX289</f>
        <v>0</v>
      </c>
      <c r="BD289" s="33" t="n">
        <f aca="false">G289/(100-BE289)*100</f>
        <v>0</v>
      </c>
      <c r="BE289" s="33" t="n">
        <v>0</v>
      </c>
      <c r="BF289" s="33" t="n">
        <f aca="false">290</f>
        <v>290</v>
      </c>
      <c r="BH289" s="33" t="n">
        <f aca="false">F289*AO289</f>
        <v>0</v>
      </c>
      <c r="BI289" s="33" t="n">
        <f aca="false">F289*AP289</f>
        <v>0</v>
      </c>
      <c r="BJ289" s="33" t="n">
        <f aca="false">F289*G289</f>
        <v>0</v>
      </c>
      <c r="BK289" s="33"/>
      <c r="BL289" s="33" t="n">
        <v>762</v>
      </c>
      <c r="BW289" s="33" t="n">
        <v>12</v>
      </c>
      <c r="BX289" s="9" t="s">
        <v>592</v>
      </c>
    </row>
    <row r="290" customFormat="false" ht="15" hidden="false" customHeight="false" outlineLevel="0" collapsed="false">
      <c r="A290" s="36"/>
      <c r="C290" s="37" t="s">
        <v>577</v>
      </c>
      <c r="D290" s="37" t="s">
        <v>593</v>
      </c>
      <c r="F290" s="38" t="n">
        <v>83.6</v>
      </c>
      <c r="K290" s="39"/>
    </row>
    <row r="291" customFormat="false" ht="15" hidden="false" customHeight="false" outlineLevel="0" collapsed="false">
      <c r="A291" s="36"/>
      <c r="C291" s="37" t="s">
        <v>594</v>
      </c>
      <c r="D291" s="37"/>
      <c r="F291" s="38" t="n">
        <v>3.344</v>
      </c>
      <c r="K291" s="39"/>
    </row>
    <row r="292" customFormat="false" ht="15" hidden="false" customHeight="true" outlineLevel="0" collapsed="false">
      <c r="A292" s="32" t="s">
        <v>595</v>
      </c>
      <c r="B292" s="10" t="s">
        <v>596</v>
      </c>
      <c r="C292" s="9" t="s">
        <v>597</v>
      </c>
      <c r="D292" s="9"/>
      <c r="E292" s="10" t="s">
        <v>83</v>
      </c>
      <c r="F292" s="33" t="n">
        <v>22.32</v>
      </c>
      <c r="G292" s="33" t="n">
        <v>0</v>
      </c>
      <c r="H292" s="33" t="n">
        <f aca="false">F292*AO292</f>
        <v>0</v>
      </c>
      <c r="I292" s="33" t="n">
        <f aca="false">F292*AP292</f>
        <v>0</v>
      </c>
      <c r="J292" s="33" t="n">
        <f aca="false">F292*G292</f>
        <v>0</v>
      </c>
      <c r="K292" s="34" t="s">
        <v>303</v>
      </c>
      <c r="Z292" s="33" t="n">
        <f aca="false">IF(AQ292="5",BJ292,0)</f>
        <v>0</v>
      </c>
      <c r="AB292" s="33" t="n">
        <f aca="false">IF(AQ292="1",BH292,0)</f>
        <v>0</v>
      </c>
      <c r="AC292" s="33" t="n">
        <f aca="false">IF(AQ292="1",BI292,0)</f>
        <v>0</v>
      </c>
      <c r="AD292" s="33" t="n">
        <f aca="false">IF(AQ292="7",BH292,0)</f>
        <v>0</v>
      </c>
      <c r="AE292" s="33" t="n">
        <f aca="false">IF(AQ292="7",BI292,0)</f>
        <v>0</v>
      </c>
      <c r="AF292" s="33" t="n">
        <f aca="false">IF(AQ292="2",BH292,0)</f>
        <v>0</v>
      </c>
      <c r="AG292" s="33" t="n">
        <f aca="false">IF(AQ292="2",BI292,0)</f>
        <v>0</v>
      </c>
      <c r="AH292" s="33" t="n">
        <f aca="false">IF(AQ292="0",BJ292,0)</f>
        <v>0</v>
      </c>
      <c r="AI292" s="18"/>
      <c r="AJ292" s="33" t="n">
        <f aca="false">IF(AN292=0,J292,0)</f>
        <v>0</v>
      </c>
      <c r="AK292" s="33" t="n">
        <f aca="false">IF(AN292=12,J292,0)</f>
        <v>0</v>
      </c>
      <c r="AL292" s="33" t="n">
        <f aca="false">IF(AN292=21,J292,0)</f>
        <v>0</v>
      </c>
      <c r="AN292" s="33" t="n">
        <v>12</v>
      </c>
      <c r="AO292" s="33" t="n">
        <f aca="false">G292*1</f>
        <v>0</v>
      </c>
      <c r="AP292" s="33" t="n">
        <f aca="false">G292*(1-1)</f>
        <v>0</v>
      </c>
      <c r="AQ292" s="35" t="s">
        <v>80</v>
      </c>
      <c r="AV292" s="33" t="n">
        <f aca="false">AW292+AX292</f>
        <v>0</v>
      </c>
      <c r="AW292" s="33" t="n">
        <f aca="false">F292*AO292</f>
        <v>0</v>
      </c>
      <c r="AX292" s="33" t="n">
        <f aca="false">F292*AP292</f>
        <v>0</v>
      </c>
      <c r="AY292" s="35" t="s">
        <v>571</v>
      </c>
      <c r="AZ292" s="35" t="s">
        <v>371</v>
      </c>
      <c r="BA292" s="18" t="s">
        <v>57</v>
      </c>
      <c r="BC292" s="33" t="n">
        <f aca="false">AW292+AX292</f>
        <v>0</v>
      </c>
      <c r="BD292" s="33" t="n">
        <f aca="false">G292/(100-BE292)*100</f>
        <v>0</v>
      </c>
      <c r="BE292" s="33" t="n">
        <v>0</v>
      </c>
      <c r="BF292" s="33" t="n">
        <f aca="false">293</f>
        <v>293</v>
      </c>
      <c r="BH292" s="33" t="n">
        <f aca="false">F292*AO292</f>
        <v>0</v>
      </c>
      <c r="BI292" s="33" t="n">
        <f aca="false">F292*AP292</f>
        <v>0</v>
      </c>
      <c r="BJ292" s="33" t="n">
        <f aca="false">F292*G292</f>
        <v>0</v>
      </c>
      <c r="BK292" s="33"/>
      <c r="BL292" s="33" t="n">
        <v>762</v>
      </c>
      <c r="BW292" s="33" t="n">
        <v>12</v>
      </c>
      <c r="BX292" s="9" t="s">
        <v>597</v>
      </c>
    </row>
    <row r="293" customFormat="false" ht="15" hidden="false" customHeight="false" outlineLevel="0" collapsed="false">
      <c r="A293" s="36"/>
      <c r="C293" s="37" t="s">
        <v>598</v>
      </c>
      <c r="D293" s="37"/>
      <c r="F293" s="38" t="n">
        <v>22.32</v>
      </c>
      <c r="K293" s="39"/>
    </row>
    <row r="294" customFormat="false" ht="15" hidden="false" customHeight="true" outlineLevel="0" collapsed="false">
      <c r="A294" s="32" t="s">
        <v>599</v>
      </c>
      <c r="B294" s="10" t="s">
        <v>600</v>
      </c>
      <c r="C294" s="9" t="s">
        <v>601</v>
      </c>
      <c r="D294" s="9"/>
      <c r="E294" s="10" t="s">
        <v>172</v>
      </c>
      <c r="F294" s="33" t="n">
        <v>2.574</v>
      </c>
      <c r="G294" s="33" t="n">
        <v>0</v>
      </c>
      <c r="H294" s="33" t="n">
        <f aca="false">F294*AO294</f>
        <v>0</v>
      </c>
      <c r="I294" s="33" t="n">
        <f aca="false">F294*AP294</f>
        <v>0</v>
      </c>
      <c r="J294" s="33" t="n">
        <f aca="false">F294*G294</f>
        <v>0</v>
      </c>
      <c r="K294" s="34" t="s">
        <v>55</v>
      </c>
      <c r="Z294" s="33" t="n">
        <f aca="false">IF(AQ294="5",BJ294,0)</f>
        <v>0</v>
      </c>
      <c r="AB294" s="33" t="n">
        <f aca="false">IF(AQ294="1",BH294,0)</f>
        <v>0</v>
      </c>
      <c r="AC294" s="33" t="n">
        <f aca="false">IF(AQ294="1",BI294,0)</f>
        <v>0</v>
      </c>
      <c r="AD294" s="33" t="n">
        <f aca="false">IF(AQ294="7",BH294,0)</f>
        <v>0</v>
      </c>
      <c r="AE294" s="33" t="n">
        <f aca="false">IF(AQ294="7",BI294,0)</f>
        <v>0</v>
      </c>
      <c r="AF294" s="33" t="n">
        <f aca="false">IF(AQ294="2",BH294,0)</f>
        <v>0</v>
      </c>
      <c r="AG294" s="33" t="n">
        <f aca="false">IF(AQ294="2",BI294,0)</f>
        <v>0</v>
      </c>
      <c r="AH294" s="33" t="n">
        <f aca="false">IF(AQ294="0",BJ294,0)</f>
        <v>0</v>
      </c>
      <c r="AI294" s="18"/>
      <c r="AJ294" s="33" t="n">
        <f aca="false">IF(AN294=0,J294,0)</f>
        <v>0</v>
      </c>
      <c r="AK294" s="33" t="n">
        <f aca="false">IF(AN294=12,J294,0)</f>
        <v>0</v>
      </c>
      <c r="AL294" s="33" t="n">
        <f aca="false">IF(AN294=21,J294,0)</f>
        <v>0</v>
      </c>
      <c r="AN294" s="33" t="n">
        <v>12</v>
      </c>
      <c r="AO294" s="33" t="n">
        <f aca="false">G294*0</f>
        <v>0</v>
      </c>
      <c r="AP294" s="33" t="n">
        <f aca="false">G294*(1-0)</f>
        <v>0</v>
      </c>
      <c r="AQ294" s="35" t="s">
        <v>68</v>
      </c>
      <c r="AV294" s="33" t="n">
        <f aca="false">AW294+AX294</f>
        <v>0</v>
      </c>
      <c r="AW294" s="33" t="n">
        <f aca="false">F294*AO294</f>
        <v>0</v>
      </c>
      <c r="AX294" s="33" t="n">
        <f aca="false">F294*AP294</f>
        <v>0</v>
      </c>
      <c r="AY294" s="35" t="s">
        <v>571</v>
      </c>
      <c r="AZ294" s="35" t="s">
        <v>371</v>
      </c>
      <c r="BA294" s="18" t="s">
        <v>57</v>
      </c>
      <c r="BC294" s="33" t="n">
        <f aca="false">AW294+AX294</f>
        <v>0</v>
      </c>
      <c r="BD294" s="33" t="n">
        <f aca="false">G294/(100-BE294)*100</f>
        <v>0</v>
      </c>
      <c r="BE294" s="33" t="n">
        <v>0</v>
      </c>
      <c r="BF294" s="33" t="n">
        <f aca="false">295</f>
        <v>295</v>
      </c>
      <c r="BH294" s="33" t="n">
        <f aca="false">F294*AO294</f>
        <v>0</v>
      </c>
      <c r="BI294" s="33" t="n">
        <f aca="false">F294*AP294</f>
        <v>0</v>
      </c>
      <c r="BJ294" s="33" t="n">
        <f aca="false">F294*G294</f>
        <v>0</v>
      </c>
      <c r="BK294" s="33"/>
      <c r="BL294" s="33" t="n">
        <v>762</v>
      </c>
      <c r="BW294" s="33" t="n">
        <v>12</v>
      </c>
      <c r="BX294" s="9" t="s">
        <v>601</v>
      </c>
    </row>
    <row r="295" customFormat="false" ht="15" hidden="false" customHeight="false" outlineLevel="0" collapsed="false">
      <c r="A295" s="36"/>
      <c r="C295" s="37" t="s">
        <v>602</v>
      </c>
      <c r="D295" s="37"/>
      <c r="F295" s="38" t="n">
        <v>2.574</v>
      </c>
      <c r="K295" s="39"/>
    </row>
    <row r="296" customFormat="false" ht="15" hidden="false" customHeight="true" outlineLevel="0" collapsed="false">
      <c r="A296" s="27"/>
      <c r="B296" s="28" t="s">
        <v>603</v>
      </c>
      <c r="C296" s="29" t="s">
        <v>604</v>
      </c>
      <c r="D296" s="29"/>
      <c r="E296" s="30" t="s">
        <v>4</v>
      </c>
      <c r="F296" s="30" t="s">
        <v>4</v>
      </c>
      <c r="G296" s="30" t="s">
        <v>4</v>
      </c>
      <c r="H296" s="2" t="n">
        <f aca="false">SUM(H297:H348)</f>
        <v>0</v>
      </c>
      <c r="I296" s="2" t="n">
        <f aca="false">SUM(I297:I348)</f>
        <v>0</v>
      </c>
      <c r="J296" s="2" t="n">
        <f aca="false">SUM(J297:J348)</f>
        <v>0</v>
      </c>
      <c r="K296" s="31"/>
      <c r="AI296" s="18"/>
      <c r="AS296" s="2" t="n">
        <f aca="false">SUM(AJ297:AJ348)</f>
        <v>0</v>
      </c>
      <c r="AT296" s="2" t="n">
        <f aca="false">SUM(AK297:AK348)</f>
        <v>0</v>
      </c>
      <c r="AU296" s="2" t="n">
        <f aca="false">SUM(AL297:AL348)</f>
        <v>0</v>
      </c>
    </row>
    <row r="297" customFormat="false" ht="15" hidden="false" customHeight="true" outlineLevel="0" collapsed="false">
      <c r="A297" s="32" t="s">
        <v>605</v>
      </c>
      <c r="B297" s="10" t="s">
        <v>606</v>
      </c>
      <c r="C297" s="9" t="s">
        <v>607</v>
      </c>
      <c r="D297" s="9"/>
      <c r="E297" s="10" t="s">
        <v>163</v>
      </c>
      <c r="F297" s="33" t="n">
        <v>1</v>
      </c>
      <c r="G297" s="33" t="n">
        <v>0</v>
      </c>
      <c r="H297" s="33" t="n">
        <f aca="false">F297*AO297</f>
        <v>0</v>
      </c>
      <c r="I297" s="33" t="n">
        <f aca="false">F297*AP297</f>
        <v>0</v>
      </c>
      <c r="J297" s="33" t="n">
        <f aca="false">F297*G297</f>
        <v>0</v>
      </c>
      <c r="K297" s="34" t="s">
        <v>55</v>
      </c>
      <c r="Z297" s="33" t="n">
        <f aca="false">IF(AQ297="5",BJ297,0)</f>
        <v>0</v>
      </c>
      <c r="AB297" s="33" t="n">
        <f aca="false">IF(AQ297="1",BH297,0)</f>
        <v>0</v>
      </c>
      <c r="AC297" s="33" t="n">
        <f aca="false">IF(AQ297="1",BI297,0)</f>
        <v>0</v>
      </c>
      <c r="AD297" s="33" t="n">
        <f aca="false">IF(AQ297="7",BH297,0)</f>
        <v>0</v>
      </c>
      <c r="AE297" s="33" t="n">
        <f aca="false">IF(AQ297="7",BI297,0)</f>
        <v>0</v>
      </c>
      <c r="AF297" s="33" t="n">
        <f aca="false">IF(AQ297="2",BH297,0)</f>
        <v>0</v>
      </c>
      <c r="AG297" s="33" t="n">
        <f aca="false">IF(AQ297="2",BI297,0)</f>
        <v>0</v>
      </c>
      <c r="AH297" s="33" t="n">
        <f aca="false">IF(AQ297="0",BJ297,0)</f>
        <v>0</v>
      </c>
      <c r="AI297" s="18"/>
      <c r="AJ297" s="33" t="n">
        <f aca="false">IF(AN297=0,J297,0)</f>
        <v>0</v>
      </c>
      <c r="AK297" s="33" t="n">
        <f aca="false">IF(AN297=12,J297,0)</f>
        <v>0</v>
      </c>
      <c r="AL297" s="33" t="n">
        <f aca="false">IF(AN297=21,J297,0)</f>
        <v>0</v>
      </c>
      <c r="AN297" s="33" t="n">
        <v>12</v>
      </c>
      <c r="AO297" s="33" t="n">
        <f aca="false">G297*1</f>
        <v>0</v>
      </c>
      <c r="AP297" s="33" t="n">
        <f aca="false">G297*(1-1)</f>
        <v>0</v>
      </c>
      <c r="AQ297" s="35" t="s">
        <v>80</v>
      </c>
      <c r="AV297" s="33" t="n">
        <f aca="false">AW297+AX297</f>
        <v>0</v>
      </c>
      <c r="AW297" s="33" t="n">
        <f aca="false">F297*AO297</f>
        <v>0</v>
      </c>
      <c r="AX297" s="33" t="n">
        <f aca="false">F297*AP297</f>
        <v>0</v>
      </c>
      <c r="AY297" s="35" t="s">
        <v>608</v>
      </c>
      <c r="AZ297" s="35" t="s">
        <v>371</v>
      </c>
      <c r="BA297" s="18" t="s">
        <v>57</v>
      </c>
      <c r="BC297" s="33" t="n">
        <f aca="false">AW297+AX297</f>
        <v>0</v>
      </c>
      <c r="BD297" s="33" t="n">
        <f aca="false">G297/(100-BE297)*100</f>
        <v>0</v>
      </c>
      <c r="BE297" s="33" t="n">
        <v>0</v>
      </c>
      <c r="BF297" s="33" t="n">
        <f aca="false">298</f>
        <v>298</v>
      </c>
      <c r="BH297" s="33" t="n">
        <f aca="false">F297*AO297</f>
        <v>0</v>
      </c>
      <c r="BI297" s="33" t="n">
        <f aca="false">F297*AP297</f>
        <v>0</v>
      </c>
      <c r="BJ297" s="33" t="n">
        <f aca="false">F297*G297</f>
        <v>0</v>
      </c>
      <c r="BK297" s="33"/>
      <c r="BL297" s="33" t="n">
        <v>764</v>
      </c>
      <c r="BW297" s="33" t="n">
        <v>12</v>
      </c>
      <c r="BX297" s="9" t="s">
        <v>607</v>
      </c>
    </row>
    <row r="298" customFormat="false" ht="15" hidden="false" customHeight="false" outlineLevel="0" collapsed="false">
      <c r="A298" s="36"/>
      <c r="C298" s="37" t="s">
        <v>51</v>
      </c>
      <c r="D298" s="37"/>
      <c r="F298" s="38" t="n">
        <v>1</v>
      </c>
      <c r="K298" s="39"/>
    </row>
    <row r="299" customFormat="false" ht="15" hidden="false" customHeight="true" outlineLevel="0" collapsed="false">
      <c r="A299" s="32" t="s">
        <v>531</v>
      </c>
      <c r="B299" s="10" t="s">
        <v>609</v>
      </c>
      <c r="C299" s="9" t="s">
        <v>610</v>
      </c>
      <c r="D299" s="9"/>
      <c r="E299" s="10" t="s">
        <v>91</v>
      </c>
      <c r="F299" s="33" t="n">
        <v>302.4</v>
      </c>
      <c r="G299" s="33" t="n">
        <v>0</v>
      </c>
      <c r="H299" s="33" t="n">
        <f aca="false">F299*AO299</f>
        <v>0</v>
      </c>
      <c r="I299" s="33" t="n">
        <f aca="false">F299*AP299</f>
        <v>0</v>
      </c>
      <c r="J299" s="33" t="n">
        <f aca="false">F299*G299</f>
        <v>0</v>
      </c>
      <c r="K299" s="34" t="s">
        <v>55</v>
      </c>
      <c r="Z299" s="33" t="n">
        <f aca="false">IF(AQ299="5",BJ299,0)</f>
        <v>0</v>
      </c>
      <c r="AB299" s="33" t="n">
        <f aca="false">IF(AQ299="1",BH299,0)</f>
        <v>0</v>
      </c>
      <c r="AC299" s="33" t="n">
        <f aca="false">IF(AQ299="1",BI299,0)</f>
        <v>0</v>
      </c>
      <c r="AD299" s="33" t="n">
        <f aca="false">IF(AQ299="7",BH299,0)</f>
        <v>0</v>
      </c>
      <c r="AE299" s="33" t="n">
        <f aca="false">IF(AQ299="7",BI299,0)</f>
        <v>0</v>
      </c>
      <c r="AF299" s="33" t="n">
        <f aca="false">IF(AQ299="2",BH299,0)</f>
        <v>0</v>
      </c>
      <c r="AG299" s="33" t="n">
        <f aca="false">IF(AQ299="2",BI299,0)</f>
        <v>0</v>
      </c>
      <c r="AH299" s="33" t="n">
        <f aca="false">IF(AQ299="0",BJ299,0)</f>
        <v>0</v>
      </c>
      <c r="AI299" s="18"/>
      <c r="AJ299" s="33" t="n">
        <f aca="false">IF(AN299=0,J299,0)</f>
        <v>0</v>
      </c>
      <c r="AK299" s="33" t="n">
        <f aca="false">IF(AN299=12,J299,0)</f>
        <v>0</v>
      </c>
      <c r="AL299" s="33" t="n">
        <f aca="false">IF(AN299=21,J299,0)</f>
        <v>0</v>
      </c>
      <c r="AN299" s="33" t="n">
        <v>12</v>
      </c>
      <c r="AO299" s="33" t="n">
        <f aca="false">G299*0</f>
        <v>0</v>
      </c>
      <c r="AP299" s="33" t="n">
        <f aca="false">G299*(1-0)</f>
        <v>0</v>
      </c>
      <c r="AQ299" s="35" t="s">
        <v>80</v>
      </c>
      <c r="AV299" s="33" t="n">
        <f aca="false">AW299+AX299</f>
        <v>0</v>
      </c>
      <c r="AW299" s="33" t="n">
        <f aca="false">F299*AO299</f>
        <v>0</v>
      </c>
      <c r="AX299" s="33" t="n">
        <f aca="false">F299*AP299</f>
        <v>0</v>
      </c>
      <c r="AY299" s="35" t="s">
        <v>608</v>
      </c>
      <c r="AZ299" s="35" t="s">
        <v>371</v>
      </c>
      <c r="BA299" s="18" t="s">
        <v>57</v>
      </c>
      <c r="BC299" s="33" t="n">
        <f aca="false">AW299+AX299</f>
        <v>0</v>
      </c>
      <c r="BD299" s="33" t="n">
        <f aca="false">G299/(100-BE299)*100</f>
        <v>0</v>
      </c>
      <c r="BE299" s="33" t="n">
        <v>0</v>
      </c>
      <c r="BF299" s="33" t="n">
        <f aca="false">300</f>
        <v>300</v>
      </c>
      <c r="BH299" s="33" t="n">
        <f aca="false">F299*AO299</f>
        <v>0</v>
      </c>
      <c r="BI299" s="33" t="n">
        <f aca="false">F299*AP299</f>
        <v>0</v>
      </c>
      <c r="BJ299" s="33" t="n">
        <f aca="false">F299*G299</f>
        <v>0</v>
      </c>
      <c r="BK299" s="33"/>
      <c r="BL299" s="33" t="n">
        <v>764</v>
      </c>
      <c r="BW299" s="33" t="n">
        <v>12</v>
      </c>
      <c r="BX299" s="9" t="s">
        <v>610</v>
      </c>
    </row>
    <row r="300" customFormat="false" ht="15" hidden="false" customHeight="false" outlineLevel="0" collapsed="false">
      <c r="A300" s="36"/>
      <c r="C300" s="37" t="s">
        <v>611</v>
      </c>
      <c r="D300" s="37"/>
      <c r="F300" s="38" t="n">
        <v>129.6</v>
      </c>
      <c r="K300" s="39"/>
    </row>
    <row r="301" customFormat="false" ht="15" hidden="false" customHeight="false" outlineLevel="0" collapsed="false">
      <c r="A301" s="36"/>
      <c r="C301" s="37" t="s">
        <v>612</v>
      </c>
      <c r="D301" s="37"/>
      <c r="F301" s="38" t="n">
        <v>172.8</v>
      </c>
      <c r="K301" s="39"/>
    </row>
    <row r="302" customFormat="false" ht="15" hidden="false" customHeight="true" outlineLevel="0" collapsed="false">
      <c r="A302" s="32" t="s">
        <v>613</v>
      </c>
      <c r="B302" s="10" t="s">
        <v>614</v>
      </c>
      <c r="C302" s="9" t="s">
        <v>615</v>
      </c>
      <c r="D302" s="9"/>
      <c r="E302" s="10" t="s">
        <v>91</v>
      </c>
      <c r="F302" s="33" t="n">
        <v>302.4</v>
      </c>
      <c r="G302" s="33" t="n">
        <v>0</v>
      </c>
      <c r="H302" s="33" t="n">
        <f aca="false">F302*AO302</f>
        <v>0</v>
      </c>
      <c r="I302" s="33" t="n">
        <f aca="false">F302*AP302</f>
        <v>0</v>
      </c>
      <c r="J302" s="33" t="n">
        <f aca="false">F302*G302</f>
        <v>0</v>
      </c>
      <c r="K302" s="34" t="s">
        <v>55</v>
      </c>
      <c r="Z302" s="33" t="n">
        <f aca="false">IF(AQ302="5",BJ302,0)</f>
        <v>0</v>
      </c>
      <c r="AB302" s="33" t="n">
        <f aca="false">IF(AQ302="1",BH302,0)</f>
        <v>0</v>
      </c>
      <c r="AC302" s="33" t="n">
        <f aca="false">IF(AQ302="1",BI302,0)</f>
        <v>0</v>
      </c>
      <c r="AD302" s="33" t="n">
        <f aca="false">IF(AQ302="7",BH302,0)</f>
        <v>0</v>
      </c>
      <c r="AE302" s="33" t="n">
        <f aca="false">IF(AQ302="7",BI302,0)</f>
        <v>0</v>
      </c>
      <c r="AF302" s="33" t="n">
        <f aca="false">IF(AQ302="2",BH302,0)</f>
        <v>0</v>
      </c>
      <c r="AG302" s="33" t="n">
        <f aca="false">IF(AQ302="2",BI302,0)</f>
        <v>0</v>
      </c>
      <c r="AH302" s="33" t="n">
        <f aca="false">IF(AQ302="0",BJ302,0)</f>
        <v>0</v>
      </c>
      <c r="AI302" s="18"/>
      <c r="AJ302" s="33" t="n">
        <f aca="false">IF(AN302=0,J302,0)</f>
        <v>0</v>
      </c>
      <c r="AK302" s="33" t="n">
        <f aca="false">IF(AN302=12,J302,0)</f>
        <v>0</v>
      </c>
      <c r="AL302" s="33" t="n">
        <f aca="false">IF(AN302=21,J302,0)</f>
        <v>0</v>
      </c>
      <c r="AN302" s="33" t="n">
        <v>12</v>
      </c>
      <c r="AO302" s="33" t="n">
        <f aca="false">G302*0.172734952</f>
        <v>0</v>
      </c>
      <c r="AP302" s="33" t="n">
        <f aca="false">G302*(1-0.172734952)</f>
        <v>0</v>
      </c>
      <c r="AQ302" s="35" t="s">
        <v>80</v>
      </c>
      <c r="AV302" s="33" t="n">
        <f aca="false">AW302+AX302</f>
        <v>0</v>
      </c>
      <c r="AW302" s="33" t="n">
        <f aca="false">F302*AO302</f>
        <v>0</v>
      </c>
      <c r="AX302" s="33" t="n">
        <f aca="false">F302*AP302</f>
        <v>0</v>
      </c>
      <c r="AY302" s="35" t="s">
        <v>608</v>
      </c>
      <c r="AZ302" s="35" t="s">
        <v>371</v>
      </c>
      <c r="BA302" s="18" t="s">
        <v>57</v>
      </c>
      <c r="BC302" s="33" t="n">
        <f aca="false">AW302+AX302</f>
        <v>0</v>
      </c>
      <c r="BD302" s="33" t="n">
        <f aca="false">G302/(100-BE302)*100</f>
        <v>0</v>
      </c>
      <c r="BE302" s="33" t="n">
        <v>0</v>
      </c>
      <c r="BF302" s="33" t="n">
        <f aca="false">303</f>
        <v>303</v>
      </c>
      <c r="BH302" s="33" t="n">
        <f aca="false">F302*AO302</f>
        <v>0</v>
      </c>
      <c r="BI302" s="33" t="n">
        <f aca="false">F302*AP302</f>
        <v>0</v>
      </c>
      <c r="BJ302" s="33" t="n">
        <f aca="false">F302*G302</f>
        <v>0</v>
      </c>
      <c r="BK302" s="33"/>
      <c r="BL302" s="33" t="n">
        <v>764</v>
      </c>
      <c r="BW302" s="33" t="n">
        <v>12</v>
      </c>
      <c r="BX302" s="9" t="s">
        <v>615</v>
      </c>
    </row>
    <row r="303" customFormat="false" ht="15" hidden="false" customHeight="false" outlineLevel="0" collapsed="false">
      <c r="A303" s="36"/>
      <c r="C303" s="37" t="s">
        <v>616</v>
      </c>
      <c r="D303" s="37" t="s">
        <v>617</v>
      </c>
      <c r="F303" s="38" t="n">
        <v>302.4</v>
      </c>
      <c r="K303" s="39"/>
    </row>
    <row r="304" customFormat="false" ht="15" hidden="false" customHeight="true" outlineLevel="0" collapsed="false">
      <c r="A304" s="32" t="s">
        <v>618</v>
      </c>
      <c r="B304" s="10" t="s">
        <v>619</v>
      </c>
      <c r="C304" s="9" t="s">
        <v>620</v>
      </c>
      <c r="D304" s="9"/>
      <c r="E304" s="10" t="s">
        <v>163</v>
      </c>
      <c r="F304" s="33" t="n">
        <v>25.5</v>
      </c>
      <c r="G304" s="33" t="n">
        <v>0</v>
      </c>
      <c r="H304" s="33" t="n">
        <f aca="false">F304*AO304</f>
        <v>0</v>
      </c>
      <c r="I304" s="33" t="n">
        <f aca="false">F304*AP304</f>
        <v>0</v>
      </c>
      <c r="J304" s="33" t="n">
        <f aca="false">F304*G304</f>
        <v>0</v>
      </c>
      <c r="K304" s="34" t="s">
        <v>84</v>
      </c>
      <c r="Z304" s="33" t="n">
        <f aca="false">IF(AQ304="5",BJ304,0)</f>
        <v>0</v>
      </c>
      <c r="AB304" s="33" t="n">
        <f aca="false">IF(AQ304="1",BH304,0)</f>
        <v>0</v>
      </c>
      <c r="AC304" s="33" t="n">
        <f aca="false">IF(AQ304="1",BI304,0)</f>
        <v>0</v>
      </c>
      <c r="AD304" s="33" t="n">
        <f aca="false">IF(AQ304="7",BH304,0)</f>
        <v>0</v>
      </c>
      <c r="AE304" s="33" t="n">
        <f aca="false">IF(AQ304="7",BI304,0)</f>
        <v>0</v>
      </c>
      <c r="AF304" s="33" t="n">
        <f aca="false">IF(AQ304="2",BH304,0)</f>
        <v>0</v>
      </c>
      <c r="AG304" s="33" t="n">
        <f aca="false">IF(AQ304="2",BI304,0)</f>
        <v>0</v>
      </c>
      <c r="AH304" s="33" t="n">
        <f aca="false">IF(AQ304="0",BJ304,0)</f>
        <v>0</v>
      </c>
      <c r="AI304" s="18"/>
      <c r="AJ304" s="33" t="n">
        <f aca="false">IF(AN304=0,J304,0)</f>
        <v>0</v>
      </c>
      <c r="AK304" s="33" t="n">
        <f aca="false">IF(AN304=12,J304,0)</f>
        <v>0</v>
      </c>
      <c r="AL304" s="33" t="n">
        <f aca="false">IF(AN304=21,J304,0)</f>
        <v>0</v>
      </c>
      <c r="AN304" s="33" t="n">
        <v>12</v>
      </c>
      <c r="AO304" s="33" t="n">
        <f aca="false">G304*0.132883309</f>
        <v>0</v>
      </c>
      <c r="AP304" s="33" t="n">
        <f aca="false">G304*(1-0.132883309)</f>
        <v>0</v>
      </c>
      <c r="AQ304" s="35" t="s">
        <v>80</v>
      </c>
      <c r="AV304" s="33" t="n">
        <f aca="false">AW304+AX304</f>
        <v>0</v>
      </c>
      <c r="AW304" s="33" t="n">
        <f aca="false">F304*AO304</f>
        <v>0</v>
      </c>
      <c r="AX304" s="33" t="n">
        <f aca="false">F304*AP304</f>
        <v>0</v>
      </c>
      <c r="AY304" s="35" t="s">
        <v>608</v>
      </c>
      <c r="AZ304" s="35" t="s">
        <v>371</v>
      </c>
      <c r="BA304" s="18" t="s">
        <v>57</v>
      </c>
      <c r="BC304" s="33" t="n">
        <f aca="false">AW304+AX304</f>
        <v>0</v>
      </c>
      <c r="BD304" s="33" t="n">
        <f aca="false">G304/(100-BE304)*100</f>
        <v>0</v>
      </c>
      <c r="BE304" s="33" t="n">
        <v>0</v>
      </c>
      <c r="BF304" s="33" t="n">
        <f aca="false">305</f>
        <v>305</v>
      </c>
      <c r="BH304" s="33" t="n">
        <f aca="false">F304*AO304</f>
        <v>0</v>
      </c>
      <c r="BI304" s="33" t="n">
        <f aca="false">F304*AP304</f>
        <v>0</v>
      </c>
      <c r="BJ304" s="33" t="n">
        <f aca="false">F304*G304</f>
        <v>0</v>
      </c>
      <c r="BK304" s="33"/>
      <c r="BL304" s="33" t="n">
        <v>764</v>
      </c>
      <c r="BW304" s="33" t="n">
        <v>12</v>
      </c>
      <c r="BX304" s="9" t="s">
        <v>620</v>
      </c>
    </row>
    <row r="305" customFormat="false" ht="15" hidden="false" customHeight="false" outlineLevel="0" collapsed="false">
      <c r="A305" s="36"/>
      <c r="C305" s="37" t="s">
        <v>621</v>
      </c>
      <c r="D305" s="37" t="s">
        <v>622</v>
      </c>
      <c r="F305" s="38" t="n">
        <v>25.5</v>
      </c>
      <c r="K305" s="39"/>
    </row>
    <row r="306" customFormat="false" ht="15" hidden="false" customHeight="true" outlineLevel="0" collapsed="false">
      <c r="A306" s="32" t="s">
        <v>623</v>
      </c>
      <c r="B306" s="10" t="s">
        <v>624</v>
      </c>
      <c r="C306" s="9" t="s">
        <v>625</v>
      </c>
      <c r="D306" s="9"/>
      <c r="E306" s="10" t="s">
        <v>91</v>
      </c>
      <c r="F306" s="33" t="n">
        <v>25.5</v>
      </c>
      <c r="G306" s="33" t="n">
        <v>0</v>
      </c>
      <c r="H306" s="33" t="n">
        <f aca="false">F306*AO306</f>
        <v>0</v>
      </c>
      <c r="I306" s="33" t="n">
        <f aca="false">F306*AP306</f>
        <v>0</v>
      </c>
      <c r="J306" s="33" t="n">
        <f aca="false">F306*G306</f>
        <v>0</v>
      </c>
      <c r="K306" s="34" t="s">
        <v>84</v>
      </c>
      <c r="Z306" s="33" t="n">
        <f aca="false">IF(AQ306="5",BJ306,0)</f>
        <v>0</v>
      </c>
      <c r="AB306" s="33" t="n">
        <f aca="false">IF(AQ306="1",BH306,0)</f>
        <v>0</v>
      </c>
      <c r="AC306" s="33" t="n">
        <f aca="false">IF(AQ306="1",BI306,0)</f>
        <v>0</v>
      </c>
      <c r="AD306" s="33" t="n">
        <f aca="false">IF(AQ306="7",BH306,0)</f>
        <v>0</v>
      </c>
      <c r="AE306" s="33" t="n">
        <f aca="false">IF(AQ306="7",BI306,0)</f>
        <v>0</v>
      </c>
      <c r="AF306" s="33" t="n">
        <f aca="false">IF(AQ306="2",BH306,0)</f>
        <v>0</v>
      </c>
      <c r="AG306" s="33" t="n">
        <f aca="false">IF(AQ306="2",BI306,0)</f>
        <v>0</v>
      </c>
      <c r="AH306" s="33" t="n">
        <f aca="false">IF(AQ306="0",BJ306,0)</f>
        <v>0</v>
      </c>
      <c r="AI306" s="18"/>
      <c r="AJ306" s="33" t="n">
        <f aca="false">IF(AN306=0,J306,0)</f>
        <v>0</v>
      </c>
      <c r="AK306" s="33" t="n">
        <f aca="false">IF(AN306=12,J306,0)</f>
        <v>0</v>
      </c>
      <c r="AL306" s="33" t="n">
        <f aca="false">IF(AN306=21,J306,0)</f>
        <v>0</v>
      </c>
      <c r="AN306" s="33" t="n">
        <v>12</v>
      </c>
      <c r="AO306" s="33" t="n">
        <f aca="false">G306*0.021223242</f>
        <v>0</v>
      </c>
      <c r="AP306" s="33" t="n">
        <f aca="false">G306*(1-0.021223242)</f>
        <v>0</v>
      </c>
      <c r="AQ306" s="35" t="s">
        <v>80</v>
      </c>
      <c r="AV306" s="33" t="n">
        <f aca="false">AW306+AX306</f>
        <v>0</v>
      </c>
      <c r="AW306" s="33" t="n">
        <f aca="false">F306*AO306</f>
        <v>0</v>
      </c>
      <c r="AX306" s="33" t="n">
        <f aca="false">F306*AP306</f>
        <v>0</v>
      </c>
      <c r="AY306" s="35" t="s">
        <v>608</v>
      </c>
      <c r="AZ306" s="35" t="s">
        <v>371</v>
      </c>
      <c r="BA306" s="18" t="s">
        <v>57</v>
      </c>
      <c r="BC306" s="33" t="n">
        <f aca="false">AW306+AX306</f>
        <v>0</v>
      </c>
      <c r="BD306" s="33" t="n">
        <f aca="false">G306/(100-BE306)*100</f>
        <v>0</v>
      </c>
      <c r="BE306" s="33" t="n">
        <v>0</v>
      </c>
      <c r="BF306" s="33" t="n">
        <f aca="false">307</f>
        <v>307</v>
      </c>
      <c r="BH306" s="33" t="n">
        <f aca="false">F306*AO306</f>
        <v>0</v>
      </c>
      <c r="BI306" s="33" t="n">
        <f aca="false">F306*AP306</f>
        <v>0</v>
      </c>
      <c r="BJ306" s="33" t="n">
        <f aca="false">F306*G306</f>
        <v>0</v>
      </c>
      <c r="BK306" s="33"/>
      <c r="BL306" s="33" t="n">
        <v>764</v>
      </c>
      <c r="BW306" s="33" t="n">
        <v>12</v>
      </c>
      <c r="BX306" s="9" t="s">
        <v>625</v>
      </c>
    </row>
    <row r="307" customFormat="false" ht="15" hidden="false" customHeight="false" outlineLevel="0" collapsed="false">
      <c r="A307" s="36"/>
      <c r="C307" s="37" t="s">
        <v>621</v>
      </c>
      <c r="D307" s="37" t="s">
        <v>622</v>
      </c>
      <c r="F307" s="38" t="n">
        <v>25.5</v>
      </c>
      <c r="K307" s="39"/>
    </row>
    <row r="308" customFormat="false" ht="15" hidden="false" customHeight="true" outlineLevel="0" collapsed="false">
      <c r="A308" s="32" t="s">
        <v>626</v>
      </c>
      <c r="B308" s="10" t="s">
        <v>627</v>
      </c>
      <c r="C308" s="9" t="s">
        <v>628</v>
      </c>
      <c r="D308" s="9"/>
      <c r="E308" s="10" t="s">
        <v>163</v>
      </c>
      <c r="F308" s="33" t="n">
        <v>5</v>
      </c>
      <c r="G308" s="33" t="n">
        <v>0</v>
      </c>
      <c r="H308" s="33" t="n">
        <f aca="false">F308*AO308</f>
        <v>0</v>
      </c>
      <c r="I308" s="33" t="n">
        <f aca="false">F308*AP308</f>
        <v>0</v>
      </c>
      <c r="J308" s="33" t="n">
        <f aca="false">F308*G308</f>
        <v>0</v>
      </c>
      <c r="K308" s="34" t="s">
        <v>84</v>
      </c>
      <c r="Z308" s="33" t="n">
        <f aca="false">IF(AQ308="5",BJ308,0)</f>
        <v>0</v>
      </c>
      <c r="AB308" s="33" t="n">
        <f aca="false">IF(AQ308="1",BH308,0)</f>
        <v>0</v>
      </c>
      <c r="AC308" s="33" t="n">
        <f aca="false">IF(AQ308="1",BI308,0)</f>
        <v>0</v>
      </c>
      <c r="AD308" s="33" t="n">
        <f aca="false">IF(AQ308="7",BH308,0)</f>
        <v>0</v>
      </c>
      <c r="AE308" s="33" t="n">
        <f aca="false">IF(AQ308="7",BI308,0)</f>
        <v>0</v>
      </c>
      <c r="AF308" s="33" t="n">
        <f aca="false">IF(AQ308="2",BH308,0)</f>
        <v>0</v>
      </c>
      <c r="AG308" s="33" t="n">
        <f aca="false">IF(AQ308="2",BI308,0)</f>
        <v>0</v>
      </c>
      <c r="AH308" s="33" t="n">
        <f aca="false">IF(AQ308="0",BJ308,0)</f>
        <v>0</v>
      </c>
      <c r="AI308" s="18"/>
      <c r="AJ308" s="33" t="n">
        <f aca="false">IF(AN308=0,J308,0)</f>
        <v>0</v>
      </c>
      <c r="AK308" s="33" t="n">
        <f aca="false">IF(AN308=12,J308,0)</f>
        <v>0</v>
      </c>
      <c r="AL308" s="33" t="n">
        <f aca="false">IF(AN308=21,J308,0)</f>
        <v>0</v>
      </c>
      <c r="AN308" s="33" t="n">
        <v>12</v>
      </c>
      <c r="AO308" s="33" t="n">
        <f aca="false">G308*0.039041794</f>
        <v>0</v>
      </c>
      <c r="AP308" s="33" t="n">
        <f aca="false">G308*(1-0.039041794)</f>
        <v>0</v>
      </c>
      <c r="AQ308" s="35" t="s">
        <v>80</v>
      </c>
      <c r="AV308" s="33" t="n">
        <f aca="false">AW308+AX308</f>
        <v>0</v>
      </c>
      <c r="AW308" s="33" t="n">
        <f aca="false">F308*AO308</f>
        <v>0</v>
      </c>
      <c r="AX308" s="33" t="n">
        <f aca="false">F308*AP308</f>
        <v>0</v>
      </c>
      <c r="AY308" s="35" t="s">
        <v>608</v>
      </c>
      <c r="AZ308" s="35" t="s">
        <v>371</v>
      </c>
      <c r="BA308" s="18" t="s">
        <v>57</v>
      </c>
      <c r="BC308" s="33" t="n">
        <f aca="false">AW308+AX308</f>
        <v>0</v>
      </c>
      <c r="BD308" s="33" t="n">
        <f aca="false">G308/(100-BE308)*100</f>
        <v>0</v>
      </c>
      <c r="BE308" s="33" t="n">
        <v>0</v>
      </c>
      <c r="BF308" s="33" t="n">
        <f aca="false">309</f>
        <v>309</v>
      </c>
      <c r="BH308" s="33" t="n">
        <f aca="false">F308*AO308</f>
        <v>0</v>
      </c>
      <c r="BI308" s="33" t="n">
        <f aca="false">F308*AP308</f>
        <v>0</v>
      </c>
      <c r="BJ308" s="33" t="n">
        <f aca="false">F308*G308</f>
        <v>0</v>
      </c>
      <c r="BK308" s="33"/>
      <c r="BL308" s="33" t="n">
        <v>764</v>
      </c>
      <c r="BW308" s="33" t="n">
        <v>12</v>
      </c>
      <c r="BX308" s="9" t="s">
        <v>628</v>
      </c>
    </row>
    <row r="309" customFormat="false" ht="15" hidden="false" customHeight="false" outlineLevel="0" collapsed="false">
      <c r="A309" s="36"/>
      <c r="C309" s="37" t="s">
        <v>68</v>
      </c>
      <c r="D309" s="37" t="s">
        <v>622</v>
      </c>
      <c r="F309" s="38" t="n">
        <v>5</v>
      </c>
      <c r="K309" s="39"/>
    </row>
    <row r="310" customFormat="false" ht="15" hidden="false" customHeight="true" outlineLevel="0" collapsed="false">
      <c r="A310" s="32" t="s">
        <v>629</v>
      </c>
      <c r="B310" s="10" t="s">
        <v>630</v>
      </c>
      <c r="C310" s="9" t="s">
        <v>631</v>
      </c>
      <c r="D310" s="9"/>
      <c r="E310" s="10" t="s">
        <v>91</v>
      </c>
      <c r="F310" s="33" t="n">
        <v>5.2</v>
      </c>
      <c r="G310" s="33" t="n">
        <v>0</v>
      </c>
      <c r="H310" s="33" t="n">
        <f aca="false">F310*AO310</f>
        <v>0</v>
      </c>
      <c r="I310" s="33" t="n">
        <f aca="false">F310*AP310</f>
        <v>0</v>
      </c>
      <c r="J310" s="33" t="n">
        <f aca="false">F310*G310</f>
        <v>0</v>
      </c>
      <c r="K310" s="34" t="s">
        <v>84</v>
      </c>
      <c r="Z310" s="33" t="n">
        <f aca="false">IF(AQ310="5",BJ310,0)</f>
        <v>0</v>
      </c>
      <c r="AB310" s="33" t="n">
        <f aca="false">IF(AQ310="1",BH310,0)</f>
        <v>0</v>
      </c>
      <c r="AC310" s="33" t="n">
        <f aca="false">IF(AQ310="1",BI310,0)</f>
        <v>0</v>
      </c>
      <c r="AD310" s="33" t="n">
        <f aca="false">IF(AQ310="7",BH310,0)</f>
        <v>0</v>
      </c>
      <c r="AE310" s="33" t="n">
        <f aca="false">IF(AQ310="7",BI310,0)</f>
        <v>0</v>
      </c>
      <c r="AF310" s="33" t="n">
        <f aca="false">IF(AQ310="2",BH310,0)</f>
        <v>0</v>
      </c>
      <c r="AG310" s="33" t="n">
        <f aca="false">IF(AQ310="2",BI310,0)</f>
        <v>0</v>
      </c>
      <c r="AH310" s="33" t="n">
        <f aca="false">IF(AQ310="0",BJ310,0)</f>
        <v>0</v>
      </c>
      <c r="AI310" s="18"/>
      <c r="AJ310" s="33" t="n">
        <f aca="false">IF(AN310=0,J310,0)</f>
        <v>0</v>
      </c>
      <c r="AK310" s="33" t="n">
        <f aca="false">IF(AN310=12,J310,0)</f>
        <v>0</v>
      </c>
      <c r="AL310" s="33" t="n">
        <f aca="false">IF(AN310=21,J310,0)</f>
        <v>0</v>
      </c>
      <c r="AN310" s="33" t="n">
        <v>12</v>
      </c>
      <c r="AO310" s="33" t="n">
        <f aca="false">G310*0.191455026</f>
        <v>0</v>
      </c>
      <c r="AP310" s="33" t="n">
        <f aca="false">G310*(1-0.191455026)</f>
        <v>0</v>
      </c>
      <c r="AQ310" s="35" t="s">
        <v>80</v>
      </c>
      <c r="AV310" s="33" t="n">
        <f aca="false">AW310+AX310</f>
        <v>0</v>
      </c>
      <c r="AW310" s="33" t="n">
        <f aca="false">F310*AO310</f>
        <v>0</v>
      </c>
      <c r="AX310" s="33" t="n">
        <f aca="false">F310*AP310</f>
        <v>0</v>
      </c>
      <c r="AY310" s="35" t="s">
        <v>608</v>
      </c>
      <c r="AZ310" s="35" t="s">
        <v>371</v>
      </c>
      <c r="BA310" s="18" t="s">
        <v>57</v>
      </c>
      <c r="BC310" s="33" t="n">
        <f aca="false">AW310+AX310</f>
        <v>0</v>
      </c>
      <c r="BD310" s="33" t="n">
        <f aca="false">G310/(100-BE310)*100</f>
        <v>0</v>
      </c>
      <c r="BE310" s="33" t="n">
        <v>0</v>
      </c>
      <c r="BF310" s="33" t="n">
        <f aca="false">311</f>
        <v>311</v>
      </c>
      <c r="BH310" s="33" t="n">
        <f aca="false">F310*AO310</f>
        <v>0</v>
      </c>
      <c r="BI310" s="33" t="n">
        <f aca="false">F310*AP310</f>
        <v>0</v>
      </c>
      <c r="BJ310" s="33" t="n">
        <f aca="false">F310*G310</f>
        <v>0</v>
      </c>
      <c r="BK310" s="33"/>
      <c r="BL310" s="33" t="n">
        <v>764</v>
      </c>
      <c r="BW310" s="33" t="n">
        <v>12</v>
      </c>
      <c r="BX310" s="9" t="s">
        <v>631</v>
      </c>
    </row>
    <row r="311" customFormat="false" ht="15" hidden="false" customHeight="false" outlineLevel="0" collapsed="false">
      <c r="A311" s="36"/>
      <c r="C311" s="37" t="s">
        <v>632</v>
      </c>
      <c r="D311" s="37" t="s">
        <v>622</v>
      </c>
      <c r="F311" s="38" t="n">
        <v>5.2</v>
      </c>
      <c r="K311" s="39"/>
    </row>
    <row r="312" customFormat="false" ht="15" hidden="false" customHeight="true" outlineLevel="0" collapsed="false">
      <c r="A312" s="32" t="s">
        <v>633</v>
      </c>
      <c r="B312" s="10" t="s">
        <v>630</v>
      </c>
      <c r="C312" s="9" t="s">
        <v>634</v>
      </c>
      <c r="D312" s="9"/>
      <c r="E312" s="10" t="s">
        <v>163</v>
      </c>
      <c r="F312" s="33" t="n">
        <v>1</v>
      </c>
      <c r="G312" s="33" t="n">
        <v>0</v>
      </c>
      <c r="H312" s="33" t="n">
        <f aca="false">F312*AO312</f>
        <v>0</v>
      </c>
      <c r="I312" s="33" t="n">
        <f aca="false">F312*AP312</f>
        <v>0</v>
      </c>
      <c r="J312" s="33" t="n">
        <f aca="false">F312*G312</f>
        <v>0</v>
      </c>
      <c r="K312" s="34" t="s">
        <v>84</v>
      </c>
      <c r="Z312" s="33" t="n">
        <f aca="false">IF(AQ312="5",BJ312,0)</f>
        <v>0</v>
      </c>
      <c r="AB312" s="33" t="n">
        <f aca="false">IF(AQ312="1",BH312,0)</f>
        <v>0</v>
      </c>
      <c r="AC312" s="33" t="n">
        <f aca="false">IF(AQ312="1",BI312,0)</f>
        <v>0</v>
      </c>
      <c r="AD312" s="33" t="n">
        <f aca="false">IF(AQ312="7",BH312,0)</f>
        <v>0</v>
      </c>
      <c r="AE312" s="33" t="n">
        <f aca="false">IF(AQ312="7",BI312,0)</f>
        <v>0</v>
      </c>
      <c r="AF312" s="33" t="n">
        <f aca="false">IF(AQ312="2",BH312,0)</f>
        <v>0</v>
      </c>
      <c r="AG312" s="33" t="n">
        <f aca="false">IF(AQ312="2",BI312,0)</f>
        <v>0</v>
      </c>
      <c r="AH312" s="33" t="n">
        <f aca="false">IF(AQ312="0",BJ312,0)</f>
        <v>0</v>
      </c>
      <c r="AI312" s="18"/>
      <c r="AJ312" s="33" t="n">
        <f aca="false">IF(AN312=0,J312,0)</f>
        <v>0</v>
      </c>
      <c r="AK312" s="33" t="n">
        <f aca="false">IF(AN312=12,J312,0)</f>
        <v>0</v>
      </c>
      <c r="AL312" s="33" t="n">
        <f aca="false">IF(AN312=21,J312,0)</f>
        <v>0</v>
      </c>
      <c r="AN312" s="33" t="n">
        <v>12</v>
      </c>
      <c r="AO312" s="33" t="n">
        <f aca="false">G312*0.191455026</f>
        <v>0</v>
      </c>
      <c r="AP312" s="33" t="n">
        <f aca="false">G312*(1-0.191455026)</f>
        <v>0</v>
      </c>
      <c r="AQ312" s="35" t="s">
        <v>80</v>
      </c>
      <c r="AV312" s="33" t="n">
        <f aca="false">AW312+AX312</f>
        <v>0</v>
      </c>
      <c r="AW312" s="33" t="n">
        <f aca="false">F312*AO312</f>
        <v>0</v>
      </c>
      <c r="AX312" s="33" t="n">
        <f aca="false">F312*AP312</f>
        <v>0</v>
      </c>
      <c r="AY312" s="35" t="s">
        <v>608</v>
      </c>
      <c r="AZ312" s="35" t="s">
        <v>371</v>
      </c>
      <c r="BA312" s="18" t="s">
        <v>57</v>
      </c>
      <c r="BC312" s="33" t="n">
        <f aca="false">AW312+AX312</f>
        <v>0</v>
      </c>
      <c r="BD312" s="33" t="n">
        <f aca="false">G312/(100-BE312)*100</f>
        <v>0</v>
      </c>
      <c r="BE312" s="33" t="n">
        <v>0</v>
      </c>
      <c r="BF312" s="33" t="n">
        <f aca="false">313</f>
        <v>313</v>
      </c>
      <c r="BH312" s="33" t="n">
        <f aca="false">F312*AO312</f>
        <v>0</v>
      </c>
      <c r="BI312" s="33" t="n">
        <f aca="false">F312*AP312</f>
        <v>0</v>
      </c>
      <c r="BJ312" s="33" t="n">
        <f aca="false">F312*G312</f>
        <v>0</v>
      </c>
      <c r="BK312" s="33"/>
      <c r="BL312" s="33" t="n">
        <v>764</v>
      </c>
      <c r="BW312" s="33" t="n">
        <v>12</v>
      </c>
      <c r="BX312" s="9" t="s">
        <v>634</v>
      </c>
    </row>
    <row r="313" customFormat="false" ht="15" hidden="false" customHeight="false" outlineLevel="0" collapsed="false">
      <c r="A313" s="36"/>
      <c r="C313" s="37" t="s">
        <v>51</v>
      </c>
      <c r="D313" s="37"/>
      <c r="F313" s="38" t="n">
        <v>1</v>
      </c>
      <c r="K313" s="39"/>
    </row>
    <row r="314" customFormat="false" ht="15" hidden="false" customHeight="true" outlineLevel="0" collapsed="false">
      <c r="A314" s="32" t="s">
        <v>635</v>
      </c>
      <c r="B314" s="10" t="s">
        <v>636</v>
      </c>
      <c r="C314" s="9" t="s">
        <v>637</v>
      </c>
      <c r="D314" s="9"/>
      <c r="E314" s="10" t="s">
        <v>91</v>
      </c>
      <c r="F314" s="33" t="n">
        <v>105</v>
      </c>
      <c r="G314" s="33" t="n">
        <v>0</v>
      </c>
      <c r="H314" s="33" t="n">
        <f aca="false">F314*AO314</f>
        <v>0</v>
      </c>
      <c r="I314" s="33" t="n">
        <f aca="false">F314*AP314</f>
        <v>0</v>
      </c>
      <c r="J314" s="33" t="n">
        <f aca="false">F314*G314</f>
        <v>0</v>
      </c>
      <c r="K314" s="34" t="s">
        <v>84</v>
      </c>
      <c r="Z314" s="33" t="n">
        <f aca="false">IF(AQ314="5",BJ314,0)</f>
        <v>0</v>
      </c>
      <c r="AB314" s="33" t="n">
        <f aca="false">IF(AQ314="1",BH314,0)</f>
        <v>0</v>
      </c>
      <c r="AC314" s="33" t="n">
        <f aca="false">IF(AQ314="1",BI314,0)</f>
        <v>0</v>
      </c>
      <c r="AD314" s="33" t="n">
        <f aca="false">IF(AQ314="7",BH314,0)</f>
        <v>0</v>
      </c>
      <c r="AE314" s="33" t="n">
        <f aca="false">IF(AQ314="7",BI314,0)</f>
        <v>0</v>
      </c>
      <c r="AF314" s="33" t="n">
        <f aca="false">IF(AQ314="2",BH314,0)</f>
        <v>0</v>
      </c>
      <c r="AG314" s="33" t="n">
        <f aca="false">IF(AQ314="2",BI314,0)</f>
        <v>0</v>
      </c>
      <c r="AH314" s="33" t="n">
        <f aca="false">IF(AQ314="0",BJ314,0)</f>
        <v>0</v>
      </c>
      <c r="AI314" s="18"/>
      <c r="AJ314" s="33" t="n">
        <f aca="false">IF(AN314=0,J314,0)</f>
        <v>0</v>
      </c>
      <c r="AK314" s="33" t="n">
        <f aca="false">IF(AN314=12,J314,0)</f>
        <v>0</v>
      </c>
      <c r="AL314" s="33" t="n">
        <f aca="false">IF(AN314=21,J314,0)</f>
        <v>0</v>
      </c>
      <c r="AN314" s="33" t="n">
        <v>12</v>
      </c>
      <c r="AO314" s="33" t="n">
        <f aca="false">G314*0.210269892</f>
        <v>0</v>
      </c>
      <c r="AP314" s="33" t="n">
        <f aca="false">G314*(1-0.210269892)</f>
        <v>0</v>
      </c>
      <c r="AQ314" s="35" t="s">
        <v>80</v>
      </c>
      <c r="AV314" s="33" t="n">
        <f aca="false">AW314+AX314</f>
        <v>0</v>
      </c>
      <c r="AW314" s="33" t="n">
        <f aca="false">F314*AO314</f>
        <v>0</v>
      </c>
      <c r="AX314" s="33" t="n">
        <f aca="false">F314*AP314</f>
        <v>0</v>
      </c>
      <c r="AY314" s="35" t="s">
        <v>608</v>
      </c>
      <c r="AZ314" s="35" t="s">
        <v>371</v>
      </c>
      <c r="BA314" s="18" t="s">
        <v>57</v>
      </c>
      <c r="BC314" s="33" t="n">
        <f aca="false">AW314+AX314</f>
        <v>0</v>
      </c>
      <c r="BD314" s="33" t="n">
        <f aca="false">G314/(100-BE314)*100</f>
        <v>0</v>
      </c>
      <c r="BE314" s="33" t="n">
        <v>0</v>
      </c>
      <c r="BF314" s="33" t="n">
        <f aca="false">315</f>
        <v>315</v>
      </c>
      <c r="BH314" s="33" t="n">
        <f aca="false">F314*AO314</f>
        <v>0</v>
      </c>
      <c r="BI314" s="33" t="n">
        <f aca="false">F314*AP314</f>
        <v>0</v>
      </c>
      <c r="BJ314" s="33" t="n">
        <f aca="false">F314*G314</f>
        <v>0</v>
      </c>
      <c r="BK314" s="33"/>
      <c r="BL314" s="33" t="n">
        <v>764</v>
      </c>
      <c r="BW314" s="33" t="n">
        <v>12</v>
      </c>
      <c r="BX314" s="9" t="s">
        <v>637</v>
      </c>
    </row>
    <row r="315" customFormat="false" ht="15" hidden="false" customHeight="false" outlineLevel="0" collapsed="false">
      <c r="A315" s="36"/>
      <c r="C315" s="37" t="s">
        <v>584</v>
      </c>
      <c r="D315" s="37" t="s">
        <v>622</v>
      </c>
      <c r="F315" s="38" t="n">
        <v>105</v>
      </c>
      <c r="K315" s="39"/>
    </row>
    <row r="316" customFormat="false" ht="15" hidden="false" customHeight="true" outlineLevel="0" collapsed="false">
      <c r="A316" s="32" t="s">
        <v>638</v>
      </c>
      <c r="B316" s="10" t="s">
        <v>639</v>
      </c>
      <c r="C316" s="9" t="s">
        <v>640</v>
      </c>
      <c r="D316" s="9"/>
      <c r="E316" s="10" t="s">
        <v>91</v>
      </c>
      <c r="F316" s="33" t="n">
        <v>1.75</v>
      </c>
      <c r="G316" s="33" t="n">
        <v>0</v>
      </c>
      <c r="H316" s="33" t="n">
        <f aca="false">F316*AO316</f>
        <v>0</v>
      </c>
      <c r="I316" s="33" t="n">
        <f aca="false">F316*AP316</f>
        <v>0</v>
      </c>
      <c r="J316" s="33" t="n">
        <f aca="false">F316*G316</f>
        <v>0</v>
      </c>
      <c r="K316" s="34" t="s">
        <v>84</v>
      </c>
      <c r="Z316" s="33" t="n">
        <f aca="false">IF(AQ316="5",BJ316,0)</f>
        <v>0</v>
      </c>
      <c r="AB316" s="33" t="n">
        <f aca="false">IF(AQ316="1",BH316,0)</f>
        <v>0</v>
      </c>
      <c r="AC316" s="33" t="n">
        <f aca="false">IF(AQ316="1",BI316,0)</f>
        <v>0</v>
      </c>
      <c r="AD316" s="33" t="n">
        <f aca="false">IF(AQ316="7",BH316,0)</f>
        <v>0</v>
      </c>
      <c r="AE316" s="33" t="n">
        <f aca="false">IF(AQ316="7",BI316,0)</f>
        <v>0</v>
      </c>
      <c r="AF316" s="33" t="n">
        <f aca="false">IF(AQ316="2",BH316,0)</f>
        <v>0</v>
      </c>
      <c r="AG316" s="33" t="n">
        <f aca="false">IF(AQ316="2",BI316,0)</f>
        <v>0</v>
      </c>
      <c r="AH316" s="33" t="n">
        <f aca="false">IF(AQ316="0",BJ316,0)</f>
        <v>0</v>
      </c>
      <c r="AI316" s="18"/>
      <c r="AJ316" s="33" t="n">
        <f aca="false">IF(AN316=0,J316,0)</f>
        <v>0</v>
      </c>
      <c r="AK316" s="33" t="n">
        <f aca="false">IF(AN316=12,J316,0)</f>
        <v>0</v>
      </c>
      <c r="AL316" s="33" t="n">
        <f aca="false">IF(AN316=21,J316,0)</f>
        <v>0</v>
      </c>
      <c r="AN316" s="33" t="n">
        <v>12</v>
      </c>
      <c r="AO316" s="33" t="n">
        <f aca="false">G316*0.812470782</f>
        <v>0</v>
      </c>
      <c r="AP316" s="33" t="n">
        <f aca="false">G316*(1-0.812470782)</f>
        <v>0</v>
      </c>
      <c r="AQ316" s="35" t="s">
        <v>80</v>
      </c>
      <c r="AV316" s="33" t="n">
        <f aca="false">AW316+AX316</f>
        <v>0</v>
      </c>
      <c r="AW316" s="33" t="n">
        <f aca="false">F316*AO316</f>
        <v>0</v>
      </c>
      <c r="AX316" s="33" t="n">
        <f aca="false">F316*AP316</f>
        <v>0</v>
      </c>
      <c r="AY316" s="35" t="s">
        <v>608</v>
      </c>
      <c r="AZ316" s="35" t="s">
        <v>371</v>
      </c>
      <c r="BA316" s="18" t="s">
        <v>57</v>
      </c>
      <c r="BC316" s="33" t="n">
        <f aca="false">AW316+AX316</f>
        <v>0</v>
      </c>
      <c r="BD316" s="33" t="n">
        <f aca="false">G316/(100-BE316)*100</f>
        <v>0</v>
      </c>
      <c r="BE316" s="33" t="n">
        <v>0</v>
      </c>
      <c r="BF316" s="33" t="n">
        <f aca="false">317</f>
        <v>317</v>
      </c>
      <c r="BH316" s="33" t="n">
        <f aca="false">F316*AO316</f>
        <v>0</v>
      </c>
      <c r="BI316" s="33" t="n">
        <f aca="false">F316*AP316</f>
        <v>0</v>
      </c>
      <c r="BJ316" s="33" t="n">
        <f aca="false">F316*G316</f>
        <v>0</v>
      </c>
      <c r="BK316" s="33"/>
      <c r="BL316" s="33" t="n">
        <v>764</v>
      </c>
      <c r="BW316" s="33" t="n">
        <v>12</v>
      </c>
      <c r="BX316" s="9" t="s">
        <v>640</v>
      </c>
    </row>
    <row r="317" customFormat="false" ht="15" hidden="false" customHeight="false" outlineLevel="0" collapsed="false">
      <c r="A317" s="36"/>
      <c r="C317" s="37" t="s">
        <v>641</v>
      </c>
      <c r="D317" s="37" t="s">
        <v>622</v>
      </c>
      <c r="F317" s="38" t="n">
        <v>1.75</v>
      </c>
      <c r="K317" s="39"/>
    </row>
    <row r="318" customFormat="false" ht="15" hidden="false" customHeight="true" outlineLevel="0" collapsed="false">
      <c r="A318" s="32" t="s">
        <v>642</v>
      </c>
      <c r="B318" s="10" t="s">
        <v>643</v>
      </c>
      <c r="C318" s="9" t="s">
        <v>644</v>
      </c>
      <c r="D318" s="9"/>
      <c r="E318" s="10" t="s">
        <v>163</v>
      </c>
      <c r="F318" s="33" t="n">
        <v>1.75</v>
      </c>
      <c r="G318" s="33" t="n">
        <v>0</v>
      </c>
      <c r="H318" s="33" t="n">
        <f aca="false">F318*AO318</f>
        <v>0</v>
      </c>
      <c r="I318" s="33" t="n">
        <f aca="false">F318*AP318</f>
        <v>0</v>
      </c>
      <c r="J318" s="33" t="n">
        <f aca="false">F318*G318</f>
        <v>0</v>
      </c>
      <c r="K318" s="34" t="s">
        <v>84</v>
      </c>
      <c r="Z318" s="33" t="n">
        <f aca="false">IF(AQ318="5",BJ318,0)</f>
        <v>0</v>
      </c>
      <c r="AB318" s="33" t="n">
        <f aca="false">IF(AQ318="1",BH318,0)</f>
        <v>0</v>
      </c>
      <c r="AC318" s="33" t="n">
        <f aca="false">IF(AQ318="1",BI318,0)</f>
        <v>0</v>
      </c>
      <c r="AD318" s="33" t="n">
        <f aca="false">IF(AQ318="7",BH318,0)</f>
        <v>0</v>
      </c>
      <c r="AE318" s="33" t="n">
        <f aca="false">IF(AQ318="7",BI318,0)</f>
        <v>0</v>
      </c>
      <c r="AF318" s="33" t="n">
        <f aca="false">IF(AQ318="2",BH318,0)</f>
        <v>0</v>
      </c>
      <c r="AG318" s="33" t="n">
        <f aca="false">IF(AQ318="2",BI318,0)</f>
        <v>0</v>
      </c>
      <c r="AH318" s="33" t="n">
        <f aca="false">IF(AQ318="0",BJ318,0)</f>
        <v>0</v>
      </c>
      <c r="AI318" s="18"/>
      <c r="AJ318" s="33" t="n">
        <f aca="false">IF(AN318=0,J318,0)</f>
        <v>0</v>
      </c>
      <c r="AK318" s="33" t="n">
        <f aca="false">IF(AN318=12,J318,0)</f>
        <v>0</v>
      </c>
      <c r="AL318" s="33" t="n">
        <f aca="false">IF(AN318=21,J318,0)</f>
        <v>0</v>
      </c>
      <c r="AN318" s="33" t="n">
        <v>12</v>
      </c>
      <c r="AO318" s="33" t="n">
        <f aca="false">G318*0.496277916</f>
        <v>0</v>
      </c>
      <c r="AP318" s="33" t="n">
        <f aca="false">G318*(1-0.496277916)</f>
        <v>0</v>
      </c>
      <c r="AQ318" s="35" t="s">
        <v>80</v>
      </c>
      <c r="AV318" s="33" t="n">
        <f aca="false">AW318+AX318</f>
        <v>0</v>
      </c>
      <c r="AW318" s="33" t="n">
        <f aca="false">F318*AO318</f>
        <v>0</v>
      </c>
      <c r="AX318" s="33" t="n">
        <f aca="false">F318*AP318</f>
        <v>0</v>
      </c>
      <c r="AY318" s="35" t="s">
        <v>608</v>
      </c>
      <c r="AZ318" s="35" t="s">
        <v>371</v>
      </c>
      <c r="BA318" s="18" t="s">
        <v>57</v>
      </c>
      <c r="BC318" s="33" t="n">
        <f aca="false">AW318+AX318</f>
        <v>0</v>
      </c>
      <c r="BD318" s="33" t="n">
        <f aca="false">G318/(100-BE318)*100</f>
        <v>0</v>
      </c>
      <c r="BE318" s="33" t="n">
        <v>0</v>
      </c>
      <c r="BF318" s="33" t="n">
        <f aca="false">319</f>
        <v>319</v>
      </c>
      <c r="BH318" s="33" t="n">
        <f aca="false">F318*AO318</f>
        <v>0</v>
      </c>
      <c r="BI318" s="33" t="n">
        <f aca="false">F318*AP318</f>
        <v>0</v>
      </c>
      <c r="BJ318" s="33" t="n">
        <f aca="false">F318*G318</f>
        <v>0</v>
      </c>
      <c r="BK318" s="33"/>
      <c r="BL318" s="33" t="n">
        <v>764</v>
      </c>
      <c r="BW318" s="33" t="n">
        <v>12</v>
      </c>
      <c r="BX318" s="9" t="s">
        <v>644</v>
      </c>
    </row>
    <row r="319" customFormat="false" ht="15" hidden="false" customHeight="false" outlineLevel="0" collapsed="false">
      <c r="A319" s="36"/>
      <c r="C319" s="37" t="s">
        <v>641</v>
      </c>
      <c r="D319" s="37" t="s">
        <v>622</v>
      </c>
      <c r="F319" s="38" t="n">
        <v>1.75</v>
      </c>
      <c r="K319" s="39"/>
    </row>
    <row r="320" customFormat="false" ht="15" hidden="false" customHeight="true" outlineLevel="0" collapsed="false">
      <c r="A320" s="32" t="s">
        <v>645</v>
      </c>
      <c r="B320" s="10" t="s">
        <v>646</v>
      </c>
      <c r="C320" s="9" t="s">
        <v>647</v>
      </c>
      <c r="D320" s="9"/>
      <c r="E320" s="10" t="s">
        <v>91</v>
      </c>
      <c r="F320" s="33" t="n">
        <v>2.8</v>
      </c>
      <c r="G320" s="33" t="n">
        <v>0</v>
      </c>
      <c r="H320" s="33" t="n">
        <f aca="false">F320*AO320</f>
        <v>0</v>
      </c>
      <c r="I320" s="33" t="n">
        <f aca="false">F320*AP320</f>
        <v>0</v>
      </c>
      <c r="J320" s="33" t="n">
        <f aca="false">F320*G320</f>
        <v>0</v>
      </c>
      <c r="K320" s="34" t="s">
        <v>84</v>
      </c>
      <c r="Z320" s="33" t="n">
        <f aca="false">IF(AQ320="5",BJ320,0)</f>
        <v>0</v>
      </c>
      <c r="AB320" s="33" t="n">
        <f aca="false">IF(AQ320="1",BH320,0)</f>
        <v>0</v>
      </c>
      <c r="AC320" s="33" t="n">
        <f aca="false">IF(AQ320="1",BI320,0)</f>
        <v>0</v>
      </c>
      <c r="AD320" s="33" t="n">
        <f aca="false">IF(AQ320="7",BH320,0)</f>
        <v>0</v>
      </c>
      <c r="AE320" s="33" t="n">
        <f aca="false">IF(AQ320="7",BI320,0)</f>
        <v>0</v>
      </c>
      <c r="AF320" s="33" t="n">
        <f aca="false">IF(AQ320="2",BH320,0)</f>
        <v>0</v>
      </c>
      <c r="AG320" s="33" t="n">
        <f aca="false">IF(AQ320="2",BI320,0)</f>
        <v>0</v>
      </c>
      <c r="AH320" s="33" t="n">
        <f aca="false">IF(AQ320="0",BJ320,0)</f>
        <v>0</v>
      </c>
      <c r="AI320" s="18"/>
      <c r="AJ320" s="33" t="n">
        <f aca="false">IF(AN320=0,J320,0)</f>
        <v>0</v>
      </c>
      <c r="AK320" s="33" t="n">
        <f aca="false">IF(AN320=12,J320,0)</f>
        <v>0</v>
      </c>
      <c r="AL320" s="33" t="n">
        <f aca="false">IF(AN320=21,J320,0)</f>
        <v>0</v>
      </c>
      <c r="AN320" s="33" t="n">
        <v>12</v>
      </c>
      <c r="AO320" s="33" t="n">
        <f aca="false">G320*0.362025565</f>
        <v>0</v>
      </c>
      <c r="AP320" s="33" t="n">
        <f aca="false">G320*(1-0.362025565)</f>
        <v>0</v>
      </c>
      <c r="AQ320" s="35" t="s">
        <v>80</v>
      </c>
      <c r="AV320" s="33" t="n">
        <f aca="false">AW320+AX320</f>
        <v>0</v>
      </c>
      <c r="AW320" s="33" t="n">
        <f aca="false">F320*AO320</f>
        <v>0</v>
      </c>
      <c r="AX320" s="33" t="n">
        <f aca="false">F320*AP320</f>
        <v>0</v>
      </c>
      <c r="AY320" s="35" t="s">
        <v>608</v>
      </c>
      <c r="AZ320" s="35" t="s">
        <v>371</v>
      </c>
      <c r="BA320" s="18" t="s">
        <v>57</v>
      </c>
      <c r="BC320" s="33" t="n">
        <f aca="false">AW320+AX320</f>
        <v>0</v>
      </c>
      <c r="BD320" s="33" t="n">
        <f aca="false">G320/(100-BE320)*100</f>
        <v>0</v>
      </c>
      <c r="BE320" s="33" t="n">
        <v>0</v>
      </c>
      <c r="BF320" s="33" t="n">
        <f aca="false">321</f>
        <v>321</v>
      </c>
      <c r="BH320" s="33" t="n">
        <f aca="false">F320*AO320</f>
        <v>0</v>
      </c>
      <c r="BI320" s="33" t="n">
        <f aca="false">F320*AP320</f>
        <v>0</v>
      </c>
      <c r="BJ320" s="33" t="n">
        <f aca="false">F320*G320</f>
        <v>0</v>
      </c>
      <c r="BK320" s="33"/>
      <c r="BL320" s="33" t="n">
        <v>764</v>
      </c>
      <c r="BW320" s="33" t="n">
        <v>12</v>
      </c>
      <c r="BX320" s="9" t="s">
        <v>647</v>
      </c>
    </row>
    <row r="321" customFormat="false" ht="15" hidden="false" customHeight="false" outlineLevel="0" collapsed="false">
      <c r="A321" s="36"/>
      <c r="C321" s="37" t="s">
        <v>648</v>
      </c>
      <c r="D321" s="37" t="s">
        <v>622</v>
      </c>
      <c r="F321" s="38" t="n">
        <v>2.8</v>
      </c>
      <c r="K321" s="39"/>
    </row>
    <row r="322" customFormat="false" ht="15" hidden="false" customHeight="true" outlineLevel="0" collapsed="false">
      <c r="A322" s="32" t="s">
        <v>649</v>
      </c>
      <c r="B322" s="10" t="s">
        <v>650</v>
      </c>
      <c r="C322" s="9" t="s">
        <v>651</v>
      </c>
      <c r="D322" s="9"/>
      <c r="E322" s="10" t="s">
        <v>163</v>
      </c>
      <c r="F322" s="33" t="n">
        <v>1</v>
      </c>
      <c r="G322" s="33" t="n">
        <v>0</v>
      </c>
      <c r="H322" s="33" t="n">
        <f aca="false">F322*AO322</f>
        <v>0</v>
      </c>
      <c r="I322" s="33" t="n">
        <f aca="false">F322*AP322</f>
        <v>0</v>
      </c>
      <c r="J322" s="33" t="n">
        <f aca="false">F322*G322</f>
        <v>0</v>
      </c>
      <c r="K322" s="34" t="s">
        <v>84</v>
      </c>
      <c r="Z322" s="33" t="n">
        <f aca="false">IF(AQ322="5",BJ322,0)</f>
        <v>0</v>
      </c>
      <c r="AB322" s="33" t="n">
        <f aca="false">IF(AQ322="1",BH322,0)</f>
        <v>0</v>
      </c>
      <c r="AC322" s="33" t="n">
        <f aca="false">IF(AQ322="1",BI322,0)</f>
        <v>0</v>
      </c>
      <c r="AD322" s="33" t="n">
        <f aca="false">IF(AQ322="7",BH322,0)</f>
        <v>0</v>
      </c>
      <c r="AE322" s="33" t="n">
        <f aca="false">IF(AQ322="7",BI322,0)</f>
        <v>0</v>
      </c>
      <c r="AF322" s="33" t="n">
        <f aca="false">IF(AQ322="2",BH322,0)</f>
        <v>0</v>
      </c>
      <c r="AG322" s="33" t="n">
        <f aca="false">IF(AQ322="2",BI322,0)</f>
        <v>0</v>
      </c>
      <c r="AH322" s="33" t="n">
        <f aca="false">IF(AQ322="0",BJ322,0)</f>
        <v>0</v>
      </c>
      <c r="AI322" s="18"/>
      <c r="AJ322" s="33" t="n">
        <f aca="false">IF(AN322=0,J322,0)</f>
        <v>0</v>
      </c>
      <c r="AK322" s="33" t="n">
        <f aca="false">IF(AN322=12,J322,0)</f>
        <v>0</v>
      </c>
      <c r="AL322" s="33" t="n">
        <f aca="false">IF(AN322=21,J322,0)</f>
        <v>0</v>
      </c>
      <c r="AN322" s="33" t="n">
        <v>12</v>
      </c>
      <c r="AO322" s="33" t="n">
        <f aca="false">G322*0.567480348</f>
        <v>0</v>
      </c>
      <c r="AP322" s="33" t="n">
        <f aca="false">G322*(1-0.567480348)</f>
        <v>0</v>
      </c>
      <c r="AQ322" s="35" t="s">
        <v>80</v>
      </c>
      <c r="AV322" s="33" t="n">
        <f aca="false">AW322+AX322</f>
        <v>0</v>
      </c>
      <c r="AW322" s="33" t="n">
        <f aca="false">F322*AO322</f>
        <v>0</v>
      </c>
      <c r="AX322" s="33" t="n">
        <f aca="false">F322*AP322</f>
        <v>0</v>
      </c>
      <c r="AY322" s="35" t="s">
        <v>608</v>
      </c>
      <c r="AZ322" s="35" t="s">
        <v>371</v>
      </c>
      <c r="BA322" s="18" t="s">
        <v>57</v>
      </c>
      <c r="BC322" s="33" t="n">
        <f aca="false">AW322+AX322</f>
        <v>0</v>
      </c>
      <c r="BD322" s="33" t="n">
        <f aca="false">G322/(100-BE322)*100</f>
        <v>0</v>
      </c>
      <c r="BE322" s="33" t="n">
        <v>0</v>
      </c>
      <c r="BF322" s="33" t="n">
        <f aca="false">323</f>
        <v>323</v>
      </c>
      <c r="BH322" s="33" t="n">
        <f aca="false">F322*AO322</f>
        <v>0</v>
      </c>
      <c r="BI322" s="33" t="n">
        <f aca="false">F322*AP322</f>
        <v>0</v>
      </c>
      <c r="BJ322" s="33" t="n">
        <f aca="false">F322*G322</f>
        <v>0</v>
      </c>
      <c r="BK322" s="33"/>
      <c r="BL322" s="33" t="n">
        <v>764</v>
      </c>
      <c r="BW322" s="33" t="n">
        <v>12</v>
      </c>
      <c r="BX322" s="9" t="s">
        <v>651</v>
      </c>
    </row>
    <row r="323" customFormat="false" ht="15" hidden="false" customHeight="false" outlineLevel="0" collapsed="false">
      <c r="A323" s="36"/>
      <c r="C323" s="37" t="s">
        <v>51</v>
      </c>
      <c r="D323" s="37" t="s">
        <v>622</v>
      </c>
      <c r="F323" s="38" t="n">
        <v>1</v>
      </c>
      <c r="K323" s="39"/>
    </row>
    <row r="324" customFormat="false" ht="15" hidden="false" customHeight="true" outlineLevel="0" collapsed="false">
      <c r="A324" s="32" t="s">
        <v>652</v>
      </c>
      <c r="B324" s="10" t="s">
        <v>653</v>
      </c>
      <c r="C324" s="9" t="s">
        <v>654</v>
      </c>
      <c r="D324" s="9"/>
      <c r="E324" s="10" t="s">
        <v>163</v>
      </c>
      <c r="F324" s="33" t="n">
        <v>2</v>
      </c>
      <c r="G324" s="33" t="n">
        <v>0</v>
      </c>
      <c r="H324" s="33" t="n">
        <f aca="false">F324*AO324</f>
        <v>0</v>
      </c>
      <c r="I324" s="33" t="n">
        <f aca="false">F324*AP324</f>
        <v>0</v>
      </c>
      <c r="J324" s="33" t="n">
        <f aca="false">F324*G324</f>
        <v>0</v>
      </c>
      <c r="K324" s="34" t="s">
        <v>84</v>
      </c>
      <c r="Z324" s="33" t="n">
        <f aca="false">IF(AQ324="5",BJ324,0)</f>
        <v>0</v>
      </c>
      <c r="AB324" s="33" t="n">
        <f aca="false">IF(AQ324="1",BH324,0)</f>
        <v>0</v>
      </c>
      <c r="AC324" s="33" t="n">
        <f aca="false">IF(AQ324="1",BI324,0)</f>
        <v>0</v>
      </c>
      <c r="AD324" s="33" t="n">
        <f aca="false">IF(AQ324="7",BH324,0)</f>
        <v>0</v>
      </c>
      <c r="AE324" s="33" t="n">
        <f aca="false">IF(AQ324="7",BI324,0)</f>
        <v>0</v>
      </c>
      <c r="AF324" s="33" t="n">
        <f aca="false">IF(AQ324="2",BH324,0)</f>
        <v>0</v>
      </c>
      <c r="AG324" s="33" t="n">
        <f aca="false">IF(AQ324="2",BI324,0)</f>
        <v>0</v>
      </c>
      <c r="AH324" s="33" t="n">
        <f aca="false">IF(AQ324="0",BJ324,0)</f>
        <v>0</v>
      </c>
      <c r="AI324" s="18"/>
      <c r="AJ324" s="33" t="n">
        <f aca="false">IF(AN324=0,J324,0)</f>
        <v>0</v>
      </c>
      <c r="AK324" s="33" t="n">
        <f aca="false">IF(AN324=12,J324,0)</f>
        <v>0</v>
      </c>
      <c r="AL324" s="33" t="n">
        <f aca="false">IF(AN324=21,J324,0)</f>
        <v>0</v>
      </c>
      <c r="AN324" s="33" t="n">
        <v>12</v>
      </c>
      <c r="AO324" s="33" t="n">
        <f aca="false">G324*0.6875</f>
        <v>0</v>
      </c>
      <c r="AP324" s="33" t="n">
        <f aca="false">G324*(1-0.6875)</f>
        <v>0</v>
      </c>
      <c r="AQ324" s="35" t="s">
        <v>80</v>
      </c>
      <c r="AV324" s="33" t="n">
        <f aca="false">AW324+AX324</f>
        <v>0</v>
      </c>
      <c r="AW324" s="33" t="n">
        <f aca="false">F324*AO324</f>
        <v>0</v>
      </c>
      <c r="AX324" s="33" t="n">
        <f aca="false">F324*AP324</f>
        <v>0</v>
      </c>
      <c r="AY324" s="35" t="s">
        <v>608</v>
      </c>
      <c r="AZ324" s="35" t="s">
        <v>371</v>
      </c>
      <c r="BA324" s="18" t="s">
        <v>57</v>
      </c>
      <c r="BC324" s="33" t="n">
        <f aca="false">AW324+AX324</f>
        <v>0</v>
      </c>
      <c r="BD324" s="33" t="n">
        <f aca="false">G324/(100-BE324)*100</f>
        <v>0</v>
      </c>
      <c r="BE324" s="33" t="n">
        <v>0</v>
      </c>
      <c r="BF324" s="33" t="n">
        <f aca="false">325</f>
        <v>325</v>
      </c>
      <c r="BH324" s="33" t="n">
        <f aca="false">F324*AO324</f>
        <v>0</v>
      </c>
      <c r="BI324" s="33" t="n">
        <f aca="false">F324*AP324</f>
        <v>0</v>
      </c>
      <c r="BJ324" s="33" t="n">
        <f aca="false">F324*G324</f>
        <v>0</v>
      </c>
      <c r="BK324" s="33"/>
      <c r="BL324" s="33" t="n">
        <v>764</v>
      </c>
      <c r="BW324" s="33" t="n">
        <v>12</v>
      </c>
      <c r="BX324" s="9" t="s">
        <v>654</v>
      </c>
    </row>
    <row r="325" customFormat="false" ht="15" hidden="false" customHeight="false" outlineLevel="0" collapsed="false">
      <c r="A325" s="36"/>
      <c r="C325" s="37" t="s">
        <v>58</v>
      </c>
      <c r="D325" s="37" t="s">
        <v>622</v>
      </c>
      <c r="F325" s="38" t="n">
        <v>2</v>
      </c>
      <c r="K325" s="39"/>
    </row>
    <row r="326" customFormat="false" ht="15" hidden="false" customHeight="true" outlineLevel="0" collapsed="false">
      <c r="A326" s="32" t="s">
        <v>655</v>
      </c>
      <c r="B326" s="10" t="s">
        <v>656</v>
      </c>
      <c r="C326" s="9" t="s">
        <v>657</v>
      </c>
      <c r="D326" s="9"/>
      <c r="E326" s="10" t="s">
        <v>163</v>
      </c>
      <c r="F326" s="33" t="n">
        <v>6</v>
      </c>
      <c r="G326" s="33" t="n">
        <v>0</v>
      </c>
      <c r="H326" s="33" t="n">
        <f aca="false">F326*AO326</f>
        <v>0</v>
      </c>
      <c r="I326" s="33" t="n">
        <f aca="false">F326*AP326</f>
        <v>0</v>
      </c>
      <c r="J326" s="33" t="n">
        <f aca="false">F326*G326</f>
        <v>0</v>
      </c>
      <c r="K326" s="34" t="s">
        <v>84</v>
      </c>
      <c r="Z326" s="33" t="n">
        <f aca="false">IF(AQ326="5",BJ326,0)</f>
        <v>0</v>
      </c>
      <c r="AB326" s="33" t="n">
        <f aca="false">IF(AQ326="1",BH326,0)</f>
        <v>0</v>
      </c>
      <c r="AC326" s="33" t="n">
        <f aca="false">IF(AQ326="1",BI326,0)</f>
        <v>0</v>
      </c>
      <c r="AD326" s="33" t="n">
        <f aca="false">IF(AQ326="7",BH326,0)</f>
        <v>0</v>
      </c>
      <c r="AE326" s="33" t="n">
        <f aca="false">IF(AQ326="7",BI326,0)</f>
        <v>0</v>
      </c>
      <c r="AF326" s="33" t="n">
        <f aca="false">IF(AQ326="2",BH326,0)</f>
        <v>0</v>
      </c>
      <c r="AG326" s="33" t="n">
        <f aca="false">IF(AQ326="2",BI326,0)</f>
        <v>0</v>
      </c>
      <c r="AH326" s="33" t="n">
        <f aca="false">IF(AQ326="0",BJ326,0)</f>
        <v>0</v>
      </c>
      <c r="AI326" s="18"/>
      <c r="AJ326" s="33" t="n">
        <f aca="false">IF(AN326=0,J326,0)</f>
        <v>0</v>
      </c>
      <c r="AK326" s="33" t="n">
        <f aca="false">IF(AN326=12,J326,0)</f>
        <v>0</v>
      </c>
      <c r="AL326" s="33" t="n">
        <f aca="false">IF(AN326=21,J326,0)</f>
        <v>0</v>
      </c>
      <c r="AN326" s="33" t="n">
        <v>12</v>
      </c>
      <c r="AO326" s="33" t="n">
        <f aca="false">G326*0.364120301</f>
        <v>0</v>
      </c>
      <c r="AP326" s="33" t="n">
        <f aca="false">G326*(1-0.364120301)</f>
        <v>0</v>
      </c>
      <c r="AQ326" s="35" t="s">
        <v>80</v>
      </c>
      <c r="AV326" s="33" t="n">
        <f aca="false">AW326+AX326</f>
        <v>0</v>
      </c>
      <c r="AW326" s="33" t="n">
        <f aca="false">F326*AO326</f>
        <v>0</v>
      </c>
      <c r="AX326" s="33" t="n">
        <f aca="false">F326*AP326</f>
        <v>0</v>
      </c>
      <c r="AY326" s="35" t="s">
        <v>608</v>
      </c>
      <c r="AZ326" s="35" t="s">
        <v>371</v>
      </c>
      <c r="BA326" s="18" t="s">
        <v>57</v>
      </c>
      <c r="BC326" s="33" t="n">
        <f aca="false">AW326+AX326</f>
        <v>0</v>
      </c>
      <c r="BD326" s="33" t="n">
        <f aca="false">G326/(100-BE326)*100</f>
        <v>0</v>
      </c>
      <c r="BE326" s="33" t="n">
        <v>0</v>
      </c>
      <c r="BF326" s="33" t="n">
        <f aca="false">327</f>
        <v>327</v>
      </c>
      <c r="BH326" s="33" t="n">
        <f aca="false">F326*AO326</f>
        <v>0</v>
      </c>
      <c r="BI326" s="33" t="n">
        <f aca="false">F326*AP326</f>
        <v>0</v>
      </c>
      <c r="BJ326" s="33" t="n">
        <f aca="false">F326*G326</f>
        <v>0</v>
      </c>
      <c r="BK326" s="33"/>
      <c r="BL326" s="33" t="n">
        <v>764</v>
      </c>
      <c r="BW326" s="33" t="n">
        <v>12</v>
      </c>
      <c r="BX326" s="9" t="s">
        <v>657</v>
      </c>
    </row>
    <row r="327" customFormat="false" ht="15" hidden="false" customHeight="false" outlineLevel="0" collapsed="false">
      <c r="A327" s="36"/>
      <c r="C327" s="37" t="s">
        <v>72</v>
      </c>
      <c r="D327" s="37" t="s">
        <v>622</v>
      </c>
      <c r="F327" s="38" t="n">
        <v>6</v>
      </c>
      <c r="K327" s="39"/>
    </row>
    <row r="328" customFormat="false" ht="15" hidden="false" customHeight="true" outlineLevel="0" collapsed="false">
      <c r="A328" s="32" t="s">
        <v>658</v>
      </c>
      <c r="B328" s="10" t="s">
        <v>659</v>
      </c>
      <c r="C328" s="9" t="s">
        <v>660</v>
      </c>
      <c r="D328" s="9"/>
      <c r="E328" s="10" t="s">
        <v>91</v>
      </c>
      <c r="F328" s="33" t="n">
        <v>1</v>
      </c>
      <c r="G328" s="33" t="n">
        <v>0</v>
      </c>
      <c r="H328" s="33" t="n">
        <f aca="false">F328*AO328</f>
        <v>0</v>
      </c>
      <c r="I328" s="33" t="n">
        <f aca="false">F328*AP328</f>
        <v>0</v>
      </c>
      <c r="J328" s="33" t="n">
        <f aca="false">F328*G328</f>
        <v>0</v>
      </c>
      <c r="K328" s="34" t="s">
        <v>84</v>
      </c>
      <c r="Z328" s="33" t="n">
        <f aca="false">IF(AQ328="5",BJ328,0)</f>
        <v>0</v>
      </c>
      <c r="AB328" s="33" t="n">
        <f aca="false">IF(AQ328="1",BH328,0)</f>
        <v>0</v>
      </c>
      <c r="AC328" s="33" t="n">
        <f aca="false">IF(AQ328="1",BI328,0)</f>
        <v>0</v>
      </c>
      <c r="AD328" s="33" t="n">
        <f aca="false">IF(AQ328="7",BH328,0)</f>
        <v>0</v>
      </c>
      <c r="AE328" s="33" t="n">
        <f aca="false">IF(AQ328="7",BI328,0)</f>
        <v>0</v>
      </c>
      <c r="AF328" s="33" t="n">
        <f aca="false">IF(AQ328="2",BH328,0)</f>
        <v>0</v>
      </c>
      <c r="AG328" s="33" t="n">
        <f aca="false">IF(AQ328="2",BI328,0)</f>
        <v>0</v>
      </c>
      <c r="AH328" s="33" t="n">
        <f aca="false">IF(AQ328="0",BJ328,0)</f>
        <v>0</v>
      </c>
      <c r="AI328" s="18"/>
      <c r="AJ328" s="33" t="n">
        <f aca="false">IF(AN328=0,J328,0)</f>
        <v>0</v>
      </c>
      <c r="AK328" s="33" t="n">
        <f aca="false">IF(AN328=12,J328,0)</f>
        <v>0</v>
      </c>
      <c r="AL328" s="33" t="n">
        <f aca="false">IF(AN328=21,J328,0)</f>
        <v>0</v>
      </c>
      <c r="AN328" s="33" t="n">
        <v>12</v>
      </c>
      <c r="AO328" s="33" t="n">
        <f aca="false">G328*0.371706209</f>
        <v>0</v>
      </c>
      <c r="AP328" s="33" t="n">
        <f aca="false">G328*(1-0.371706209)</f>
        <v>0</v>
      </c>
      <c r="AQ328" s="35" t="s">
        <v>80</v>
      </c>
      <c r="AV328" s="33" t="n">
        <f aca="false">AW328+AX328</f>
        <v>0</v>
      </c>
      <c r="AW328" s="33" t="n">
        <f aca="false">F328*AO328</f>
        <v>0</v>
      </c>
      <c r="AX328" s="33" t="n">
        <f aca="false">F328*AP328</f>
        <v>0</v>
      </c>
      <c r="AY328" s="35" t="s">
        <v>608</v>
      </c>
      <c r="AZ328" s="35" t="s">
        <v>371</v>
      </c>
      <c r="BA328" s="18" t="s">
        <v>57</v>
      </c>
      <c r="BC328" s="33" t="n">
        <f aca="false">AW328+AX328</f>
        <v>0</v>
      </c>
      <c r="BD328" s="33" t="n">
        <f aca="false">G328/(100-BE328)*100</f>
        <v>0</v>
      </c>
      <c r="BE328" s="33" t="n">
        <v>0</v>
      </c>
      <c r="BF328" s="33" t="n">
        <f aca="false">329</f>
        <v>329</v>
      </c>
      <c r="BH328" s="33" t="n">
        <f aca="false">F328*AO328</f>
        <v>0</v>
      </c>
      <c r="BI328" s="33" t="n">
        <f aca="false">F328*AP328</f>
        <v>0</v>
      </c>
      <c r="BJ328" s="33" t="n">
        <f aca="false">F328*G328</f>
        <v>0</v>
      </c>
      <c r="BK328" s="33"/>
      <c r="BL328" s="33" t="n">
        <v>764</v>
      </c>
      <c r="BW328" s="33" t="n">
        <v>12</v>
      </c>
      <c r="BX328" s="9" t="s">
        <v>660</v>
      </c>
    </row>
    <row r="329" customFormat="false" ht="15" hidden="false" customHeight="false" outlineLevel="0" collapsed="false">
      <c r="A329" s="36"/>
      <c r="C329" s="37" t="s">
        <v>51</v>
      </c>
      <c r="D329" s="37" t="s">
        <v>622</v>
      </c>
      <c r="F329" s="38" t="n">
        <v>1</v>
      </c>
      <c r="K329" s="39"/>
    </row>
    <row r="330" customFormat="false" ht="15" hidden="false" customHeight="true" outlineLevel="0" collapsed="false">
      <c r="A330" s="32" t="s">
        <v>661</v>
      </c>
      <c r="B330" s="10" t="s">
        <v>662</v>
      </c>
      <c r="C330" s="9" t="s">
        <v>663</v>
      </c>
      <c r="D330" s="9"/>
      <c r="E330" s="10" t="s">
        <v>83</v>
      </c>
      <c r="F330" s="33" t="n">
        <v>5.6</v>
      </c>
      <c r="G330" s="33" t="n">
        <v>0</v>
      </c>
      <c r="H330" s="33" t="n">
        <f aca="false">F330*AO330</f>
        <v>0</v>
      </c>
      <c r="I330" s="33" t="n">
        <f aca="false">F330*AP330</f>
        <v>0</v>
      </c>
      <c r="J330" s="33" t="n">
        <f aca="false">F330*G330</f>
        <v>0</v>
      </c>
      <c r="K330" s="34" t="s">
        <v>84</v>
      </c>
      <c r="Z330" s="33" t="n">
        <f aca="false">IF(AQ330="5",BJ330,0)</f>
        <v>0</v>
      </c>
      <c r="AB330" s="33" t="n">
        <f aca="false">IF(AQ330="1",BH330,0)</f>
        <v>0</v>
      </c>
      <c r="AC330" s="33" t="n">
        <f aca="false">IF(AQ330="1",BI330,0)</f>
        <v>0</v>
      </c>
      <c r="AD330" s="33" t="n">
        <f aca="false">IF(AQ330="7",BH330,0)</f>
        <v>0</v>
      </c>
      <c r="AE330" s="33" t="n">
        <f aca="false">IF(AQ330="7",BI330,0)</f>
        <v>0</v>
      </c>
      <c r="AF330" s="33" t="n">
        <f aca="false">IF(AQ330="2",BH330,0)</f>
        <v>0</v>
      </c>
      <c r="AG330" s="33" t="n">
        <f aca="false">IF(AQ330="2",BI330,0)</f>
        <v>0</v>
      </c>
      <c r="AH330" s="33" t="n">
        <f aca="false">IF(AQ330="0",BJ330,0)</f>
        <v>0</v>
      </c>
      <c r="AI330" s="18"/>
      <c r="AJ330" s="33" t="n">
        <f aca="false">IF(AN330=0,J330,0)</f>
        <v>0</v>
      </c>
      <c r="AK330" s="33" t="n">
        <f aca="false">IF(AN330=12,J330,0)</f>
        <v>0</v>
      </c>
      <c r="AL330" s="33" t="n">
        <f aca="false">IF(AN330=21,J330,0)</f>
        <v>0</v>
      </c>
      <c r="AN330" s="33" t="n">
        <v>12</v>
      </c>
      <c r="AO330" s="33" t="n">
        <f aca="false">G330*0.500247788</f>
        <v>0</v>
      </c>
      <c r="AP330" s="33" t="n">
        <f aca="false">G330*(1-0.500247788)</f>
        <v>0</v>
      </c>
      <c r="AQ330" s="35" t="s">
        <v>80</v>
      </c>
      <c r="AV330" s="33" t="n">
        <f aca="false">AW330+AX330</f>
        <v>0</v>
      </c>
      <c r="AW330" s="33" t="n">
        <f aca="false">F330*AO330</f>
        <v>0</v>
      </c>
      <c r="AX330" s="33" t="n">
        <f aca="false">F330*AP330</f>
        <v>0</v>
      </c>
      <c r="AY330" s="35" t="s">
        <v>608</v>
      </c>
      <c r="AZ330" s="35" t="s">
        <v>371</v>
      </c>
      <c r="BA330" s="18" t="s">
        <v>57</v>
      </c>
      <c r="BC330" s="33" t="n">
        <f aca="false">AW330+AX330</f>
        <v>0</v>
      </c>
      <c r="BD330" s="33" t="n">
        <f aca="false">G330/(100-BE330)*100</f>
        <v>0</v>
      </c>
      <c r="BE330" s="33" t="n">
        <v>0</v>
      </c>
      <c r="BF330" s="33" t="n">
        <f aca="false">331</f>
        <v>331</v>
      </c>
      <c r="BH330" s="33" t="n">
        <f aca="false">F330*AO330</f>
        <v>0</v>
      </c>
      <c r="BI330" s="33" t="n">
        <f aca="false">F330*AP330</f>
        <v>0</v>
      </c>
      <c r="BJ330" s="33" t="n">
        <f aca="false">F330*G330</f>
        <v>0</v>
      </c>
      <c r="BK330" s="33"/>
      <c r="BL330" s="33" t="n">
        <v>764</v>
      </c>
      <c r="BW330" s="33" t="n">
        <v>12</v>
      </c>
      <c r="BX330" s="9" t="s">
        <v>663</v>
      </c>
    </row>
    <row r="331" customFormat="false" ht="15" hidden="false" customHeight="false" outlineLevel="0" collapsed="false">
      <c r="A331" s="36"/>
      <c r="C331" s="37" t="s">
        <v>664</v>
      </c>
      <c r="D331" s="37" t="s">
        <v>622</v>
      </c>
      <c r="F331" s="38" t="n">
        <v>5.6</v>
      </c>
      <c r="K331" s="39"/>
    </row>
    <row r="332" customFormat="false" ht="15" hidden="false" customHeight="true" outlineLevel="0" collapsed="false">
      <c r="A332" s="32" t="s">
        <v>665</v>
      </c>
      <c r="B332" s="10" t="s">
        <v>666</v>
      </c>
      <c r="C332" s="9" t="s">
        <v>667</v>
      </c>
      <c r="D332" s="9"/>
      <c r="E332" s="10" t="s">
        <v>91</v>
      </c>
      <c r="F332" s="33" t="n">
        <v>5.2</v>
      </c>
      <c r="G332" s="33" t="n">
        <v>0</v>
      </c>
      <c r="H332" s="33" t="n">
        <f aca="false">F332*AO332</f>
        <v>0</v>
      </c>
      <c r="I332" s="33" t="n">
        <f aca="false">F332*AP332</f>
        <v>0</v>
      </c>
      <c r="J332" s="33" t="n">
        <f aca="false">F332*G332</f>
        <v>0</v>
      </c>
      <c r="K332" s="34" t="s">
        <v>84</v>
      </c>
      <c r="Z332" s="33" t="n">
        <f aca="false">IF(AQ332="5",BJ332,0)</f>
        <v>0</v>
      </c>
      <c r="AB332" s="33" t="n">
        <f aca="false">IF(AQ332="1",BH332,0)</f>
        <v>0</v>
      </c>
      <c r="AC332" s="33" t="n">
        <f aca="false">IF(AQ332="1",BI332,0)</f>
        <v>0</v>
      </c>
      <c r="AD332" s="33" t="n">
        <f aca="false">IF(AQ332="7",BH332,0)</f>
        <v>0</v>
      </c>
      <c r="AE332" s="33" t="n">
        <f aca="false">IF(AQ332="7",BI332,0)</f>
        <v>0</v>
      </c>
      <c r="AF332" s="33" t="n">
        <f aca="false">IF(AQ332="2",BH332,0)</f>
        <v>0</v>
      </c>
      <c r="AG332" s="33" t="n">
        <f aca="false">IF(AQ332="2",BI332,0)</f>
        <v>0</v>
      </c>
      <c r="AH332" s="33" t="n">
        <f aca="false">IF(AQ332="0",BJ332,0)</f>
        <v>0</v>
      </c>
      <c r="AI332" s="18"/>
      <c r="AJ332" s="33" t="n">
        <f aca="false">IF(AN332=0,J332,0)</f>
        <v>0</v>
      </c>
      <c r="AK332" s="33" t="n">
        <f aca="false">IF(AN332=12,J332,0)</f>
        <v>0</v>
      </c>
      <c r="AL332" s="33" t="n">
        <f aca="false">IF(AN332=21,J332,0)</f>
        <v>0</v>
      </c>
      <c r="AN332" s="33" t="n">
        <v>12</v>
      </c>
      <c r="AO332" s="33" t="n">
        <f aca="false">G332*1</f>
        <v>0</v>
      </c>
      <c r="AP332" s="33" t="n">
        <f aca="false">G332*(1-1)</f>
        <v>0</v>
      </c>
      <c r="AQ332" s="35" t="s">
        <v>80</v>
      </c>
      <c r="AV332" s="33" t="n">
        <f aca="false">AW332+AX332</f>
        <v>0</v>
      </c>
      <c r="AW332" s="33" t="n">
        <f aca="false">F332*AO332</f>
        <v>0</v>
      </c>
      <c r="AX332" s="33" t="n">
        <f aca="false">F332*AP332</f>
        <v>0</v>
      </c>
      <c r="AY332" s="35" t="s">
        <v>608</v>
      </c>
      <c r="AZ332" s="35" t="s">
        <v>371</v>
      </c>
      <c r="BA332" s="18" t="s">
        <v>57</v>
      </c>
      <c r="BC332" s="33" t="n">
        <f aca="false">AW332+AX332</f>
        <v>0</v>
      </c>
      <c r="BD332" s="33" t="n">
        <f aca="false">G332/(100-BE332)*100</f>
        <v>0</v>
      </c>
      <c r="BE332" s="33" t="n">
        <v>0</v>
      </c>
      <c r="BF332" s="33" t="n">
        <f aca="false">333</f>
        <v>333</v>
      </c>
      <c r="BH332" s="33" t="n">
        <f aca="false">F332*AO332</f>
        <v>0</v>
      </c>
      <c r="BI332" s="33" t="n">
        <f aca="false">F332*AP332</f>
        <v>0</v>
      </c>
      <c r="BJ332" s="33" t="n">
        <f aca="false">F332*G332</f>
        <v>0</v>
      </c>
      <c r="BK332" s="33"/>
      <c r="BL332" s="33" t="n">
        <v>764</v>
      </c>
      <c r="BW332" s="33" t="n">
        <v>12</v>
      </c>
      <c r="BX332" s="9" t="s">
        <v>667</v>
      </c>
    </row>
    <row r="333" customFormat="false" ht="15" hidden="false" customHeight="false" outlineLevel="0" collapsed="false">
      <c r="A333" s="36"/>
      <c r="C333" s="37" t="s">
        <v>632</v>
      </c>
      <c r="D333" s="37"/>
      <c r="F333" s="38" t="n">
        <v>5.2</v>
      </c>
      <c r="K333" s="39"/>
    </row>
    <row r="334" customFormat="false" ht="15" hidden="false" customHeight="true" outlineLevel="0" collapsed="false">
      <c r="A334" s="32" t="s">
        <v>668</v>
      </c>
      <c r="B334" s="10" t="s">
        <v>669</v>
      </c>
      <c r="C334" s="9" t="s">
        <v>670</v>
      </c>
      <c r="D334" s="9"/>
      <c r="E334" s="10" t="s">
        <v>163</v>
      </c>
      <c r="F334" s="33" t="n">
        <v>1</v>
      </c>
      <c r="G334" s="33" t="n">
        <v>0</v>
      </c>
      <c r="H334" s="33" t="n">
        <f aca="false">F334*AO334</f>
        <v>0</v>
      </c>
      <c r="I334" s="33" t="n">
        <f aca="false">F334*AP334</f>
        <v>0</v>
      </c>
      <c r="J334" s="33" t="n">
        <f aca="false">F334*G334</f>
        <v>0</v>
      </c>
      <c r="K334" s="34" t="s">
        <v>84</v>
      </c>
      <c r="Z334" s="33" t="n">
        <f aca="false">IF(AQ334="5",BJ334,0)</f>
        <v>0</v>
      </c>
      <c r="AB334" s="33" t="n">
        <f aca="false">IF(AQ334="1",BH334,0)</f>
        <v>0</v>
      </c>
      <c r="AC334" s="33" t="n">
        <f aca="false">IF(AQ334="1",BI334,0)</f>
        <v>0</v>
      </c>
      <c r="AD334" s="33" t="n">
        <f aca="false">IF(AQ334="7",BH334,0)</f>
        <v>0</v>
      </c>
      <c r="AE334" s="33" t="n">
        <f aca="false">IF(AQ334="7",BI334,0)</f>
        <v>0</v>
      </c>
      <c r="AF334" s="33" t="n">
        <f aca="false">IF(AQ334="2",BH334,0)</f>
        <v>0</v>
      </c>
      <c r="AG334" s="33" t="n">
        <f aca="false">IF(AQ334="2",BI334,0)</f>
        <v>0</v>
      </c>
      <c r="AH334" s="33" t="n">
        <f aca="false">IF(AQ334="0",BJ334,0)</f>
        <v>0</v>
      </c>
      <c r="AI334" s="18"/>
      <c r="AJ334" s="33" t="n">
        <f aca="false">IF(AN334=0,J334,0)</f>
        <v>0</v>
      </c>
      <c r="AK334" s="33" t="n">
        <f aca="false">IF(AN334=12,J334,0)</f>
        <v>0</v>
      </c>
      <c r="AL334" s="33" t="n">
        <f aca="false">IF(AN334=21,J334,0)</f>
        <v>0</v>
      </c>
      <c r="AN334" s="33" t="n">
        <v>12</v>
      </c>
      <c r="AO334" s="33" t="n">
        <f aca="false">G334*1</f>
        <v>0</v>
      </c>
      <c r="AP334" s="33" t="n">
        <f aca="false">G334*(1-1)</f>
        <v>0</v>
      </c>
      <c r="AQ334" s="35" t="s">
        <v>80</v>
      </c>
      <c r="AV334" s="33" t="n">
        <f aca="false">AW334+AX334</f>
        <v>0</v>
      </c>
      <c r="AW334" s="33" t="n">
        <f aca="false">F334*AO334</f>
        <v>0</v>
      </c>
      <c r="AX334" s="33" t="n">
        <f aca="false">F334*AP334</f>
        <v>0</v>
      </c>
      <c r="AY334" s="35" t="s">
        <v>608</v>
      </c>
      <c r="AZ334" s="35" t="s">
        <v>371</v>
      </c>
      <c r="BA334" s="18" t="s">
        <v>57</v>
      </c>
      <c r="BC334" s="33" t="n">
        <f aca="false">AW334+AX334</f>
        <v>0</v>
      </c>
      <c r="BD334" s="33" t="n">
        <f aca="false">G334/(100-BE334)*100</f>
        <v>0</v>
      </c>
      <c r="BE334" s="33" t="n">
        <v>0</v>
      </c>
      <c r="BF334" s="33" t="n">
        <f aca="false">335</f>
        <v>335</v>
      </c>
      <c r="BH334" s="33" t="n">
        <f aca="false">F334*AO334</f>
        <v>0</v>
      </c>
      <c r="BI334" s="33" t="n">
        <f aca="false">F334*AP334</f>
        <v>0</v>
      </c>
      <c r="BJ334" s="33" t="n">
        <f aca="false">F334*G334</f>
        <v>0</v>
      </c>
      <c r="BK334" s="33"/>
      <c r="BL334" s="33" t="n">
        <v>764</v>
      </c>
      <c r="BW334" s="33" t="n">
        <v>12</v>
      </c>
      <c r="BX334" s="9" t="s">
        <v>670</v>
      </c>
    </row>
    <row r="335" customFormat="false" ht="15" hidden="false" customHeight="false" outlineLevel="0" collapsed="false">
      <c r="A335" s="36"/>
      <c r="C335" s="37" t="s">
        <v>51</v>
      </c>
      <c r="D335" s="37" t="s">
        <v>622</v>
      </c>
      <c r="F335" s="38" t="n">
        <v>1</v>
      </c>
      <c r="K335" s="39"/>
    </row>
    <row r="336" customFormat="false" ht="15" hidden="false" customHeight="true" outlineLevel="0" collapsed="false">
      <c r="A336" s="32" t="s">
        <v>671</v>
      </c>
      <c r="B336" s="10" t="s">
        <v>672</v>
      </c>
      <c r="C336" s="9" t="s">
        <v>673</v>
      </c>
      <c r="D336" s="9"/>
      <c r="E336" s="10" t="s">
        <v>163</v>
      </c>
      <c r="F336" s="33" t="n">
        <v>1</v>
      </c>
      <c r="G336" s="33" t="n">
        <v>0</v>
      </c>
      <c r="H336" s="33" t="n">
        <f aca="false">F336*AO336</f>
        <v>0</v>
      </c>
      <c r="I336" s="33" t="n">
        <f aca="false">F336*AP336</f>
        <v>0</v>
      </c>
      <c r="J336" s="33" t="n">
        <f aca="false">F336*G336</f>
        <v>0</v>
      </c>
      <c r="K336" s="34" t="s">
        <v>84</v>
      </c>
      <c r="Z336" s="33" t="n">
        <f aca="false">IF(AQ336="5",BJ336,0)</f>
        <v>0</v>
      </c>
      <c r="AB336" s="33" t="n">
        <f aca="false">IF(AQ336="1",BH336,0)</f>
        <v>0</v>
      </c>
      <c r="AC336" s="33" t="n">
        <f aca="false">IF(AQ336="1",BI336,0)</f>
        <v>0</v>
      </c>
      <c r="AD336" s="33" t="n">
        <f aca="false">IF(AQ336="7",BH336,0)</f>
        <v>0</v>
      </c>
      <c r="AE336" s="33" t="n">
        <f aca="false">IF(AQ336="7",BI336,0)</f>
        <v>0</v>
      </c>
      <c r="AF336" s="33" t="n">
        <f aca="false">IF(AQ336="2",BH336,0)</f>
        <v>0</v>
      </c>
      <c r="AG336" s="33" t="n">
        <f aca="false">IF(AQ336="2",BI336,0)</f>
        <v>0</v>
      </c>
      <c r="AH336" s="33" t="n">
        <f aca="false">IF(AQ336="0",BJ336,0)</f>
        <v>0</v>
      </c>
      <c r="AI336" s="18"/>
      <c r="AJ336" s="33" t="n">
        <f aca="false">IF(AN336=0,J336,0)</f>
        <v>0</v>
      </c>
      <c r="AK336" s="33" t="n">
        <f aca="false">IF(AN336=12,J336,0)</f>
        <v>0</v>
      </c>
      <c r="AL336" s="33" t="n">
        <f aca="false">IF(AN336=21,J336,0)</f>
        <v>0</v>
      </c>
      <c r="AN336" s="33" t="n">
        <v>12</v>
      </c>
      <c r="AO336" s="33" t="n">
        <f aca="false">G336*0.817745035</f>
        <v>0</v>
      </c>
      <c r="AP336" s="33" t="n">
        <f aca="false">G336*(1-0.817745035)</f>
        <v>0</v>
      </c>
      <c r="AQ336" s="35" t="s">
        <v>80</v>
      </c>
      <c r="AV336" s="33" t="n">
        <f aca="false">AW336+AX336</f>
        <v>0</v>
      </c>
      <c r="AW336" s="33" t="n">
        <f aca="false">F336*AO336</f>
        <v>0</v>
      </c>
      <c r="AX336" s="33" t="n">
        <f aca="false">F336*AP336</f>
        <v>0</v>
      </c>
      <c r="AY336" s="35" t="s">
        <v>608</v>
      </c>
      <c r="AZ336" s="35" t="s">
        <v>371</v>
      </c>
      <c r="BA336" s="18" t="s">
        <v>57</v>
      </c>
      <c r="BC336" s="33" t="n">
        <f aca="false">AW336+AX336</f>
        <v>0</v>
      </c>
      <c r="BD336" s="33" t="n">
        <f aca="false">G336/(100-BE336)*100</f>
        <v>0</v>
      </c>
      <c r="BE336" s="33" t="n">
        <v>0</v>
      </c>
      <c r="BF336" s="33" t="n">
        <f aca="false">337</f>
        <v>337</v>
      </c>
      <c r="BH336" s="33" t="n">
        <f aca="false">F336*AO336</f>
        <v>0</v>
      </c>
      <c r="BI336" s="33" t="n">
        <f aca="false">F336*AP336</f>
        <v>0</v>
      </c>
      <c r="BJ336" s="33" t="n">
        <f aca="false">F336*G336</f>
        <v>0</v>
      </c>
      <c r="BK336" s="33"/>
      <c r="BL336" s="33" t="n">
        <v>764</v>
      </c>
      <c r="BW336" s="33" t="n">
        <v>12</v>
      </c>
      <c r="BX336" s="9" t="s">
        <v>673</v>
      </c>
    </row>
    <row r="337" customFormat="false" ht="15" hidden="false" customHeight="false" outlineLevel="0" collapsed="false">
      <c r="A337" s="36"/>
      <c r="C337" s="37" t="s">
        <v>51</v>
      </c>
      <c r="D337" s="37"/>
      <c r="F337" s="38" t="n">
        <v>1</v>
      </c>
      <c r="K337" s="39"/>
    </row>
    <row r="338" customFormat="false" ht="15" hidden="false" customHeight="true" outlineLevel="0" collapsed="false">
      <c r="A338" s="32" t="s">
        <v>674</v>
      </c>
      <c r="B338" s="10" t="s">
        <v>675</v>
      </c>
      <c r="C338" s="9" t="s">
        <v>676</v>
      </c>
      <c r="D338" s="9"/>
      <c r="E338" s="10" t="s">
        <v>91</v>
      </c>
      <c r="F338" s="33" t="n">
        <v>3.6</v>
      </c>
      <c r="G338" s="33" t="n">
        <v>0</v>
      </c>
      <c r="H338" s="33" t="n">
        <f aca="false">F338*AO338</f>
        <v>0</v>
      </c>
      <c r="I338" s="33" t="n">
        <f aca="false">F338*AP338</f>
        <v>0</v>
      </c>
      <c r="J338" s="33" t="n">
        <f aca="false">F338*G338</f>
        <v>0</v>
      </c>
      <c r="K338" s="34" t="s">
        <v>84</v>
      </c>
      <c r="Z338" s="33" t="n">
        <f aca="false">IF(AQ338="5",BJ338,0)</f>
        <v>0</v>
      </c>
      <c r="AB338" s="33" t="n">
        <f aca="false">IF(AQ338="1",BH338,0)</f>
        <v>0</v>
      </c>
      <c r="AC338" s="33" t="n">
        <f aca="false">IF(AQ338="1",BI338,0)</f>
        <v>0</v>
      </c>
      <c r="AD338" s="33" t="n">
        <f aca="false">IF(AQ338="7",BH338,0)</f>
        <v>0</v>
      </c>
      <c r="AE338" s="33" t="n">
        <f aca="false">IF(AQ338="7",BI338,0)</f>
        <v>0</v>
      </c>
      <c r="AF338" s="33" t="n">
        <f aca="false">IF(AQ338="2",BH338,0)</f>
        <v>0</v>
      </c>
      <c r="AG338" s="33" t="n">
        <f aca="false">IF(AQ338="2",BI338,0)</f>
        <v>0</v>
      </c>
      <c r="AH338" s="33" t="n">
        <f aca="false">IF(AQ338="0",BJ338,0)</f>
        <v>0</v>
      </c>
      <c r="AI338" s="18"/>
      <c r="AJ338" s="33" t="n">
        <f aca="false">IF(AN338=0,J338,0)</f>
        <v>0</v>
      </c>
      <c r="AK338" s="33" t="n">
        <f aca="false">IF(AN338=12,J338,0)</f>
        <v>0</v>
      </c>
      <c r="AL338" s="33" t="n">
        <f aca="false">IF(AN338=21,J338,0)</f>
        <v>0</v>
      </c>
      <c r="AN338" s="33" t="n">
        <v>12</v>
      </c>
      <c r="AO338" s="33" t="n">
        <f aca="false">G338*0.330358326</f>
        <v>0</v>
      </c>
      <c r="AP338" s="33" t="n">
        <f aca="false">G338*(1-0.330358326)</f>
        <v>0</v>
      </c>
      <c r="AQ338" s="35" t="s">
        <v>80</v>
      </c>
      <c r="AV338" s="33" t="n">
        <f aca="false">AW338+AX338</f>
        <v>0</v>
      </c>
      <c r="AW338" s="33" t="n">
        <f aca="false">F338*AO338</f>
        <v>0</v>
      </c>
      <c r="AX338" s="33" t="n">
        <f aca="false">F338*AP338</f>
        <v>0</v>
      </c>
      <c r="AY338" s="35" t="s">
        <v>608</v>
      </c>
      <c r="AZ338" s="35" t="s">
        <v>371</v>
      </c>
      <c r="BA338" s="18" t="s">
        <v>57</v>
      </c>
      <c r="BC338" s="33" t="n">
        <f aca="false">AW338+AX338</f>
        <v>0</v>
      </c>
      <c r="BD338" s="33" t="n">
        <f aca="false">G338/(100-BE338)*100</f>
        <v>0</v>
      </c>
      <c r="BE338" s="33" t="n">
        <v>0</v>
      </c>
      <c r="BF338" s="33" t="n">
        <f aca="false">339</f>
        <v>339</v>
      </c>
      <c r="BH338" s="33" t="n">
        <f aca="false">F338*AO338</f>
        <v>0</v>
      </c>
      <c r="BI338" s="33" t="n">
        <f aca="false">F338*AP338</f>
        <v>0</v>
      </c>
      <c r="BJ338" s="33" t="n">
        <f aca="false">F338*G338</f>
        <v>0</v>
      </c>
      <c r="BK338" s="33"/>
      <c r="BL338" s="33" t="n">
        <v>764</v>
      </c>
      <c r="BW338" s="33" t="n">
        <v>12</v>
      </c>
      <c r="BX338" s="9" t="s">
        <v>676</v>
      </c>
    </row>
    <row r="339" customFormat="false" ht="15" hidden="false" customHeight="false" outlineLevel="0" collapsed="false">
      <c r="A339" s="36"/>
      <c r="C339" s="37" t="s">
        <v>677</v>
      </c>
      <c r="D339" s="37"/>
      <c r="F339" s="38" t="n">
        <v>3.6</v>
      </c>
      <c r="K339" s="39"/>
    </row>
    <row r="340" customFormat="false" ht="15" hidden="false" customHeight="true" outlineLevel="0" collapsed="false">
      <c r="A340" s="32" t="s">
        <v>678</v>
      </c>
      <c r="B340" s="10" t="s">
        <v>679</v>
      </c>
      <c r="C340" s="9" t="s">
        <v>680</v>
      </c>
      <c r="D340" s="9"/>
      <c r="E340" s="10" t="s">
        <v>163</v>
      </c>
      <c r="F340" s="33" t="n">
        <v>2</v>
      </c>
      <c r="G340" s="33" t="n">
        <v>0</v>
      </c>
      <c r="H340" s="33" t="n">
        <f aca="false">F340*AO340</f>
        <v>0</v>
      </c>
      <c r="I340" s="33" t="n">
        <f aca="false">F340*AP340</f>
        <v>0</v>
      </c>
      <c r="J340" s="33" t="n">
        <f aca="false">F340*G340</f>
        <v>0</v>
      </c>
      <c r="K340" s="34" t="s">
        <v>84</v>
      </c>
      <c r="Z340" s="33" t="n">
        <f aca="false">IF(AQ340="5",BJ340,0)</f>
        <v>0</v>
      </c>
      <c r="AB340" s="33" t="n">
        <f aca="false">IF(AQ340="1",BH340,0)</f>
        <v>0</v>
      </c>
      <c r="AC340" s="33" t="n">
        <f aca="false">IF(AQ340="1",BI340,0)</f>
        <v>0</v>
      </c>
      <c r="AD340" s="33" t="n">
        <f aca="false">IF(AQ340="7",BH340,0)</f>
        <v>0</v>
      </c>
      <c r="AE340" s="33" t="n">
        <f aca="false">IF(AQ340="7",BI340,0)</f>
        <v>0</v>
      </c>
      <c r="AF340" s="33" t="n">
        <f aca="false">IF(AQ340="2",BH340,0)</f>
        <v>0</v>
      </c>
      <c r="AG340" s="33" t="n">
        <f aca="false">IF(AQ340="2",BI340,0)</f>
        <v>0</v>
      </c>
      <c r="AH340" s="33" t="n">
        <f aca="false">IF(AQ340="0",BJ340,0)</f>
        <v>0</v>
      </c>
      <c r="AI340" s="18"/>
      <c r="AJ340" s="33" t="n">
        <f aca="false">IF(AN340=0,J340,0)</f>
        <v>0</v>
      </c>
      <c r="AK340" s="33" t="n">
        <f aca="false">IF(AN340=12,J340,0)</f>
        <v>0</v>
      </c>
      <c r="AL340" s="33" t="n">
        <f aca="false">IF(AN340=21,J340,0)</f>
        <v>0</v>
      </c>
      <c r="AN340" s="33" t="n">
        <v>12</v>
      </c>
      <c r="AO340" s="33" t="n">
        <f aca="false">G340*0.151887338</f>
        <v>0</v>
      </c>
      <c r="AP340" s="33" t="n">
        <f aca="false">G340*(1-0.151887338)</f>
        <v>0</v>
      </c>
      <c r="AQ340" s="35" t="s">
        <v>80</v>
      </c>
      <c r="AV340" s="33" t="n">
        <f aca="false">AW340+AX340</f>
        <v>0</v>
      </c>
      <c r="AW340" s="33" t="n">
        <f aca="false">F340*AO340</f>
        <v>0</v>
      </c>
      <c r="AX340" s="33" t="n">
        <f aca="false">F340*AP340</f>
        <v>0</v>
      </c>
      <c r="AY340" s="35" t="s">
        <v>608</v>
      </c>
      <c r="AZ340" s="35" t="s">
        <v>371</v>
      </c>
      <c r="BA340" s="18" t="s">
        <v>57</v>
      </c>
      <c r="BC340" s="33" t="n">
        <f aca="false">AW340+AX340</f>
        <v>0</v>
      </c>
      <c r="BD340" s="33" t="n">
        <f aca="false">G340/(100-BE340)*100</f>
        <v>0</v>
      </c>
      <c r="BE340" s="33" t="n">
        <v>0</v>
      </c>
      <c r="BF340" s="33" t="n">
        <f aca="false">341</f>
        <v>341</v>
      </c>
      <c r="BH340" s="33" t="n">
        <f aca="false">F340*AO340</f>
        <v>0</v>
      </c>
      <c r="BI340" s="33" t="n">
        <f aca="false">F340*AP340</f>
        <v>0</v>
      </c>
      <c r="BJ340" s="33" t="n">
        <f aca="false">F340*G340</f>
        <v>0</v>
      </c>
      <c r="BK340" s="33"/>
      <c r="BL340" s="33" t="n">
        <v>764</v>
      </c>
      <c r="BW340" s="33" t="n">
        <v>12</v>
      </c>
      <c r="BX340" s="9" t="s">
        <v>680</v>
      </c>
    </row>
    <row r="341" customFormat="false" ht="15" hidden="false" customHeight="false" outlineLevel="0" collapsed="false">
      <c r="A341" s="36"/>
      <c r="C341" s="37" t="s">
        <v>58</v>
      </c>
      <c r="D341" s="37"/>
      <c r="F341" s="38" t="n">
        <v>2</v>
      </c>
      <c r="K341" s="39"/>
    </row>
    <row r="342" customFormat="false" ht="15" hidden="false" customHeight="true" outlineLevel="0" collapsed="false">
      <c r="A342" s="32" t="s">
        <v>681</v>
      </c>
      <c r="B342" s="10" t="s">
        <v>682</v>
      </c>
      <c r="C342" s="9" t="s">
        <v>683</v>
      </c>
      <c r="D342" s="9"/>
      <c r="E342" s="10" t="s">
        <v>163</v>
      </c>
      <c r="F342" s="33" t="n">
        <v>4</v>
      </c>
      <c r="G342" s="33" t="n">
        <v>0</v>
      </c>
      <c r="H342" s="33" t="n">
        <f aca="false">F342*AO342</f>
        <v>0</v>
      </c>
      <c r="I342" s="33" t="n">
        <f aca="false">F342*AP342</f>
        <v>0</v>
      </c>
      <c r="J342" s="33" t="n">
        <f aca="false">F342*G342</f>
        <v>0</v>
      </c>
      <c r="K342" s="34" t="s">
        <v>84</v>
      </c>
      <c r="Z342" s="33" t="n">
        <f aca="false">IF(AQ342="5",BJ342,0)</f>
        <v>0</v>
      </c>
      <c r="AB342" s="33" t="n">
        <f aca="false">IF(AQ342="1",BH342,0)</f>
        <v>0</v>
      </c>
      <c r="AC342" s="33" t="n">
        <f aca="false">IF(AQ342="1",BI342,0)</f>
        <v>0</v>
      </c>
      <c r="AD342" s="33" t="n">
        <f aca="false">IF(AQ342="7",BH342,0)</f>
        <v>0</v>
      </c>
      <c r="AE342" s="33" t="n">
        <f aca="false">IF(AQ342="7",BI342,0)</f>
        <v>0</v>
      </c>
      <c r="AF342" s="33" t="n">
        <f aca="false">IF(AQ342="2",BH342,0)</f>
        <v>0</v>
      </c>
      <c r="AG342" s="33" t="n">
        <f aca="false">IF(AQ342="2",BI342,0)</f>
        <v>0</v>
      </c>
      <c r="AH342" s="33" t="n">
        <f aca="false">IF(AQ342="0",BJ342,0)</f>
        <v>0</v>
      </c>
      <c r="AI342" s="18"/>
      <c r="AJ342" s="33" t="n">
        <f aca="false">IF(AN342=0,J342,0)</f>
        <v>0</v>
      </c>
      <c r="AK342" s="33" t="n">
        <f aca="false">IF(AN342=12,J342,0)</f>
        <v>0</v>
      </c>
      <c r="AL342" s="33" t="n">
        <f aca="false">IF(AN342=21,J342,0)</f>
        <v>0</v>
      </c>
      <c r="AN342" s="33" t="n">
        <v>12</v>
      </c>
      <c r="AO342" s="33" t="n">
        <f aca="false">G342*0.004459203</f>
        <v>0</v>
      </c>
      <c r="AP342" s="33" t="n">
        <f aca="false">G342*(1-0.004459203)</f>
        <v>0</v>
      </c>
      <c r="AQ342" s="35" t="s">
        <v>80</v>
      </c>
      <c r="AV342" s="33" t="n">
        <f aca="false">AW342+AX342</f>
        <v>0</v>
      </c>
      <c r="AW342" s="33" t="n">
        <f aca="false">F342*AO342</f>
        <v>0</v>
      </c>
      <c r="AX342" s="33" t="n">
        <f aca="false">F342*AP342</f>
        <v>0</v>
      </c>
      <c r="AY342" s="35" t="s">
        <v>608</v>
      </c>
      <c r="AZ342" s="35" t="s">
        <v>371</v>
      </c>
      <c r="BA342" s="18" t="s">
        <v>57</v>
      </c>
      <c r="BC342" s="33" t="n">
        <f aca="false">AW342+AX342</f>
        <v>0</v>
      </c>
      <c r="BD342" s="33" t="n">
        <f aca="false">G342/(100-BE342)*100</f>
        <v>0</v>
      </c>
      <c r="BE342" s="33" t="n">
        <v>0</v>
      </c>
      <c r="BF342" s="33" t="n">
        <f aca="false">343</f>
        <v>343</v>
      </c>
      <c r="BH342" s="33" t="n">
        <f aca="false">F342*AO342</f>
        <v>0</v>
      </c>
      <c r="BI342" s="33" t="n">
        <f aca="false">F342*AP342</f>
        <v>0</v>
      </c>
      <c r="BJ342" s="33" t="n">
        <f aca="false">F342*G342</f>
        <v>0</v>
      </c>
      <c r="BK342" s="33"/>
      <c r="BL342" s="33" t="n">
        <v>764</v>
      </c>
      <c r="BW342" s="33" t="n">
        <v>12</v>
      </c>
      <c r="BX342" s="9" t="s">
        <v>683</v>
      </c>
    </row>
    <row r="343" customFormat="false" ht="15" hidden="false" customHeight="false" outlineLevel="0" collapsed="false">
      <c r="A343" s="36"/>
      <c r="C343" s="37" t="s">
        <v>64</v>
      </c>
      <c r="D343" s="37"/>
      <c r="F343" s="38" t="n">
        <v>4</v>
      </c>
      <c r="K343" s="39"/>
    </row>
    <row r="344" customFormat="false" ht="15" hidden="false" customHeight="true" outlineLevel="0" collapsed="false">
      <c r="A344" s="32" t="s">
        <v>684</v>
      </c>
      <c r="B344" s="10" t="s">
        <v>685</v>
      </c>
      <c r="C344" s="9" t="s">
        <v>686</v>
      </c>
      <c r="D344" s="9"/>
      <c r="E344" s="10" t="s">
        <v>91</v>
      </c>
      <c r="F344" s="33" t="n">
        <v>3.6</v>
      </c>
      <c r="G344" s="33" t="n">
        <v>0</v>
      </c>
      <c r="H344" s="33" t="n">
        <f aca="false">F344*AO344</f>
        <v>0</v>
      </c>
      <c r="I344" s="33" t="n">
        <f aca="false">F344*AP344</f>
        <v>0</v>
      </c>
      <c r="J344" s="33" t="n">
        <f aca="false">F344*G344</f>
        <v>0</v>
      </c>
      <c r="K344" s="34" t="s">
        <v>84</v>
      </c>
      <c r="Z344" s="33" t="n">
        <f aca="false">IF(AQ344="5",BJ344,0)</f>
        <v>0</v>
      </c>
      <c r="AB344" s="33" t="n">
        <f aca="false">IF(AQ344="1",BH344,0)</f>
        <v>0</v>
      </c>
      <c r="AC344" s="33" t="n">
        <f aca="false">IF(AQ344="1",BI344,0)</f>
        <v>0</v>
      </c>
      <c r="AD344" s="33" t="n">
        <f aca="false">IF(AQ344="7",BH344,0)</f>
        <v>0</v>
      </c>
      <c r="AE344" s="33" t="n">
        <f aca="false">IF(AQ344="7",BI344,0)</f>
        <v>0</v>
      </c>
      <c r="AF344" s="33" t="n">
        <f aca="false">IF(AQ344="2",BH344,0)</f>
        <v>0</v>
      </c>
      <c r="AG344" s="33" t="n">
        <f aca="false">IF(AQ344="2",BI344,0)</f>
        <v>0</v>
      </c>
      <c r="AH344" s="33" t="n">
        <f aca="false">IF(AQ344="0",BJ344,0)</f>
        <v>0</v>
      </c>
      <c r="AI344" s="18"/>
      <c r="AJ344" s="33" t="n">
        <f aca="false">IF(AN344=0,J344,0)</f>
        <v>0</v>
      </c>
      <c r="AK344" s="33" t="n">
        <f aca="false">IF(AN344=12,J344,0)</f>
        <v>0</v>
      </c>
      <c r="AL344" s="33" t="n">
        <f aca="false">IF(AN344=21,J344,0)</f>
        <v>0</v>
      </c>
      <c r="AN344" s="33" t="n">
        <v>12</v>
      </c>
      <c r="AO344" s="33" t="n">
        <f aca="false">G344*0.563202226</f>
        <v>0</v>
      </c>
      <c r="AP344" s="33" t="n">
        <f aca="false">G344*(1-0.563202226)</f>
        <v>0</v>
      </c>
      <c r="AQ344" s="35" t="s">
        <v>80</v>
      </c>
      <c r="AV344" s="33" t="n">
        <f aca="false">AW344+AX344</f>
        <v>0</v>
      </c>
      <c r="AW344" s="33" t="n">
        <f aca="false">F344*AO344</f>
        <v>0</v>
      </c>
      <c r="AX344" s="33" t="n">
        <f aca="false">F344*AP344</f>
        <v>0</v>
      </c>
      <c r="AY344" s="35" t="s">
        <v>608</v>
      </c>
      <c r="AZ344" s="35" t="s">
        <v>371</v>
      </c>
      <c r="BA344" s="18" t="s">
        <v>57</v>
      </c>
      <c r="BC344" s="33" t="n">
        <f aca="false">AW344+AX344</f>
        <v>0</v>
      </c>
      <c r="BD344" s="33" t="n">
        <f aca="false">G344/(100-BE344)*100</f>
        <v>0</v>
      </c>
      <c r="BE344" s="33" t="n">
        <v>0</v>
      </c>
      <c r="BF344" s="33" t="n">
        <f aca="false">345</f>
        <v>345</v>
      </c>
      <c r="BH344" s="33" t="n">
        <f aca="false">F344*AO344</f>
        <v>0</v>
      </c>
      <c r="BI344" s="33" t="n">
        <f aca="false">F344*AP344</f>
        <v>0</v>
      </c>
      <c r="BJ344" s="33" t="n">
        <f aca="false">F344*G344</f>
        <v>0</v>
      </c>
      <c r="BK344" s="33"/>
      <c r="BL344" s="33" t="n">
        <v>764</v>
      </c>
      <c r="BW344" s="33" t="n">
        <v>12</v>
      </c>
      <c r="BX344" s="9" t="s">
        <v>686</v>
      </c>
    </row>
    <row r="345" customFormat="false" ht="15" hidden="false" customHeight="false" outlineLevel="0" collapsed="false">
      <c r="A345" s="36"/>
      <c r="C345" s="37" t="s">
        <v>677</v>
      </c>
      <c r="D345" s="37"/>
      <c r="F345" s="38" t="n">
        <v>3.6</v>
      </c>
      <c r="K345" s="39"/>
    </row>
    <row r="346" customFormat="false" ht="15" hidden="false" customHeight="true" outlineLevel="0" collapsed="false">
      <c r="A346" s="32" t="s">
        <v>687</v>
      </c>
      <c r="B346" s="10" t="s">
        <v>688</v>
      </c>
      <c r="C346" s="9" t="s">
        <v>689</v>
      </c>
      <c r="D346" s="9"/>
      <c r="E346" s="10" t="s">
        <v>91</v>
      </c>
      <c r="F346" s="33" t="n">
        <v>164.8</v>
      </c>
      <c r="G346" s="33" t="n">
        <v>0</v>
      </c>
      <c r="H346" s="33" t="n">
        <f aca="false">F346*AO346</f>
        <v>0</v>
      </c>
      <c r="I346" s="33" t="n">
        <f aca="false">F346*AP346</f>
        <v>0</v>
      </c>
      <c r="J346" s="33" t="n">
        <f aca="false">F346*G346</f>
        <v>0</v>
      </c>
      <c r="K346" s="34" t="s">
        <v>84</v>
      </c>
      <c r="Z346" s="33" t="n">
        <f aca="false">IF(AQ346="5",BJ346,0)</f>
        <v>0</v>
      </c>
      <c r="AB346" s="33" t="n">
        <f aca="false">IF(AQ346="1",BH346,0)</f>
        <v>0</v>
      </c>
      <c r="AC346" s="33" t="n">
        <f aca="false">IF(AQ346="1",BI346,0)</f>
        <v>0</v>
      </c>
      <c r="AD346" s="33" t="n">
        <f aca="false">IF(AQ346="7",BH346,0)</f>
        <v>0</v>
      </c>
      <c r="AE346" s="33" t="n">
        <f aca="false">IF(AQ346="7",BI346,0)</f>
        <v>0</v>
      </c>
      <c r="AF346" s="33" t="n">
        <f aca="false">IF(AQ346="2",BH346,0)</f>
        <v>0</v>
      </c>
      <c r="AG346" s="33" t="n">
        <f aca="false">IF(AQ346="2",BI346,0)</f>
        <v>0</v>
      </c>
      <c r="AH346" s="33" t="n">
        <f aca="false">IF(AQ346="0",BJ346,0)</f>
        <v>0</v>
      </c>
      <c r="AI346" s="18"/>
      <c r="AJ346" s="33" t="n">
        <f aca="false">IF(AN346=0,J346,0)</f>
        <v>0</v>
      </c>
      <c r="AK346" s="33" t="n">
        <f aca="false">IF(AN346=12,J346,0)</f>
        <v>0</v>
      </c>
      <c r="AL346" s="33" t="n">
        <f aca="false">IF(AN346=21,J346,0)</f>
        <v>0</v>
      </c>
      <c r="AN346" s="33" t="n">
        <v>12</v>
      </c>
      <c r="AO346" s="33" t="n">
        <f aca="false">G346*0</f>
        <v>0</v>
      </c>
      <c r="AP346" s="33" t="n">
        <f aca="false">G346*(1-0)</f>
        <v>0</v>
      </c>
      <c r="AQ346" s="35" t="s">
        <v>80</v>
      </c>
      <c r="AV346" s="33" t="n">
        <f aca="false">AW346+AX346</f>
        <v>0</v>
      </c>
      <c r="AW346" s="33" t="n">
        <f aca="false">F346*AO346</f>
        <v>0</v>
      </c>
      <c r="AX346" s="33" t="n">
        <f aca="false">F346*AP346</f>
        <v>0</v>
      </c>
      <c r="AY346" s="35" t="s">
        <v>608</v>
      </c>
      <c r="AZ346" s="35" t="s">
        <v>371</v>
      </c>
      <c r="BA346" s="18" t="s">
        <v>57</v>
      </c>
      <c r="BC346" s="33" t="n">
        <f aca="false">AW346+AX346</f>
        <v>0</v>
      </c>
      <c r="BD346" s="33" t="n">
        <f aca="false">G346/(100-BE346)*100</f>
        <v>0</v>
      </c>
      <c r="BE346" s="33" t="n">
        <v>0</v>
      </c>
      <c r="BF346" s="33" t="n">
        <f aca="false">347</f>
        <v>347</v>
      </c>
      <c r="BH346" s="33" t="n">
        <f aca="false">F346*AO346</f>
        <v>0</v>
      </c>
      <c r="BI346" s="33" t="n">
        <f aca="false">F346*AP346</f>
        <v>0</v>
      </c>
      <c r="BJ346" s="33" t="n">
        <f aca="false">F346*G346</f>
        <v>0</v>
      </c>
      <c r="BK346" s="33"/>
      <c r="BL346" s="33" t="n">
        <v>764</v>
      </c>
      <c r="BW346" s="33" t="n">
        <v>12</v>
      </c>
      <c r="BX346" s="9" t="s">
        <v>689</v>
      </c>
    </row>
    <row r="347" customFormat="false" ht="15" hidden="false" customHeight="false" outlineLevel="0" collapsed="false">
      <c r="A347" s="36"/>
      <c r="C347" s="37" t="s">
        <v>690</v>
      </c>
      <c r="D347" s="37"/>
      <c r="F347" s="38" t="n">
        <v>164.8</v>
      </c>
      <c r="K347" s="39"/>
    </row>
    <row r="348" customFormat="false" ht="15" hidden="false" customHeight="true" outlineLevel="0" collapsed="false">
      <c r="A348" s="32" t="s">
        <v>691</v>
      </c>
      <c r="B348" s="10" t="s">
        <v>692</v>
      </c>
      <c r="C348" s="9" t="s">
        <v>693</v>
      </c>
      <c r="D348" s="9"/>
      <c r="E348" s="10" t="s">
        <v>172</v>
      </c>
      <c r="F348" s="33" t="n">
        <v>1.984</v>
      </c>
      <c r="G348" s="33" t="n">
        <v>0</v>
      </c>
      <c r="H348" s="33" t="n">
        <f aca="false">F348*AO348</f>
        <v>0</v>
      </c>
      <c r="I348" s="33" t="n">
        <f aca="false">F348*AP348</f>
        <v>0</v>
      </c>
      <c r="J348" s="33" t="n">
        <f aca="false">F348*G348</f>
        <v>0</v>
      </c>
      <c r="K348" s="34" t="s">
        <v>55</v>
      </c>
      <c r="Z348" s="33" t="n">
        <f aca="false">IF(AQ348="5",BJ348,0)</f>
        <v>0</v>
      </c>
      <c r="AB348" s="33" t="n">
        <f aca="false">IF(AQ348="1",BH348,0)</f>
        <v>0</v>
      </c>
      <c r="AC348" s="33" t="n">
        <f aca="false">IF(AQ348="1",BI348,0)</f>
        <v>0</v>
      </c>
      <c r="AD348" s="33" t="n">
        <f aca="false">IF(AQ348="7",BH348,0)</f>
        <v>0</v>
      </c>
      <c r="AE348" s="33" t="n">
        <f aca="false">IF(AQ348="7",BI348,0)</f>
        <v>0</v>
      </c>
      <c r="AF348" s="33" t="n">
        <f aca="false">IF(AQ348="2",BH348,0)</f>
        <v>0</v>
      </c>
      <c r="AG348" s="33" t="n">
        <f aca="false">IF(AQ348="2",BI348,0)</f>
        <v>0</v>
      </c>
      <c r="AH348" s="33" t="n">
        <f aca="false">IF(AQ348="0",BJ348,0)</f>
        <v>0</v>
      </c>
      <c r="AI348" s="18"/>
      <c r="AJ348" s="33" t="n">
        <f aca="false">IF(AN348=0,J348,0)</f>
        <v>0</v>
      </c>
      <c r="AK348" s="33" t="n">
        <f aca="false">IF(AN348=12,J348,0)</f>
        <v>0</v>
      </c>
      <c r="AL348" s="33" t="n">
        <f aca="false">IF(AN348=21,J348,0)</f>
        <v>0</v>
      </c>
      <c r="AN348" s="33" t="n">
        <v>12</v>
      </c>
      <c r="AO348" s="33" t="n">
        <f aca="false">G348*0</f>
        <v>0</v>
      </c>
      <c r="AP348" s="33" t="n">
        <f aca="false">G348*(1-0)</f>
        <v>0</v>
      </c>
      <c r="AQ348" s="35" t="s">
        <v>68</v>
      </c>
      <c r="AV348" s="33" t="n">
        <f aca="false">AW348+AX348</f>
        <v>0</v>
      </c>
      <c r="AW348" s="33" t="n">
        <f aca="false">F348*AO348</f>
        <v>0</v>
      </c>
      <c r="AX348" s="33" t="n">
        <f aca="false">F348*AP348</f>
        <v>0</v>
      </c>
      <c r="AY348" s="35" t="s">
        <v>608</v>
      </c>
      <c r="AZ348" s="35" t="s">
        <v>371</v>
      </c>
      <c r="BA348" s="18" t="s">
        <v>57</v>
      </c>
      <c r="BC348" s="33" t="n">
        <f aca="false">AW348+AX348</f>
        <v>0</v>
      </c>
      <c r="BD348" s="33" t="n">
        <f aca="false">G348/(100-BE348)*100</f>
        <v>0</v>
      </c>
      <c r="BE348" s="33" t="n">
        <v>0</v>
      </c>
      <c r="BF348" s="33" t="n">
        <f aca="false">349</f>
        <v>349</v>
      </c>
      <c r="BH348" s="33" t="n">
        <f aca="false">F348*AO348</f>
        <v>0</v>
      </c>
      <c r="BI348" s="33" t="n">
        <f aca="false">F348*AP348</f>
        <v>0</v>
      </c>
      <c r="BJ348" s="33" t="n">
        <f aca="false">F348*G348</f>
        <v>0</v>
      </c>
      <c r="BK348" s="33"/>
      <c r="BL348" s="33" t="n">
        <v>764</v>
      </c>
      <c r="BW348" s="33" t="n">
        <v>12</v>
      </c>
      <c r="BX348" s="9" t="s">
        <v>693</v>
      </c>
    </row>
    <row r="349" customFormat="false" ht="15" hidden="false" customHeight="false" outlineLevel="0" collapsed="false">
      <c r="A349" s="36"/>
      <c r="C349" s="37" t="s">
        <v>694</v>
      </c>
      <c r="D349" s="37"/>
      <c r="F349" s="38" t="n">
        <v>1.984</v>
      </c>
      <c r="K349" s="39"/>
    </row>
    <row r="350" customFormat="false" ht="15" hidden="false" customHeight="true" outlineLevel="0" collapsed="false">
      <c r="A350" s="27"/>
      <c r="B350" s="28" t="s">
        <v>695</v>
      </c>
      <c r="C350" s="29" t="s">
        <v>696</v>
      </c>
      <c r="D350" s="29"/>
      <c r="E350" s="30" t="s">
        <v>4</v>
      </c>
      <c r="F350" s="30" t="s">
        <v>4</v>
      </c>
      <c r="G350" s="30" t="s">
        <v>4</v>
      </c>
      <c r="H350" s="2" t="n">
        <f aca="false">SUM(H351:H386)</f>
        <v>0</v>
      </c>
      <c r="I350" s="2" t="n">
        <f aca="false">SUM(I351:I386)</f>
        <v>0</v>
      </c>
      <c r="J350" s="2" t="n">
        <f aca="false">SUM(J351:J386)</f>
        <v>0</v>
      </c>
      <c r="K350" s="31"/>
      <c r="AI350" s="18"/>
      <c r="AS350" s="2" t="n">
        <f aca="false">SUM(AJ351:AJ386)</f>
        <v>0</v>
      </c>
      <c r="AT350" s="2" t="n">
        <f aca="false">SUM(AK351:AK386)</f>
        <v>0</v>
      </c>
      <c r="AU350" s="2" t="n">
        <f aca="false">SUM(AL351:AL386)</f>
        <v>0</v>
      </c>
    </row>
    <row r="351" customFormat="false" ht="15" hidden="false" customHeight="true" outlineLevel="0" collapsed="false">
      <c r="A351" s="32" t="s">
        <v>697</v>
      </c>
      <c r="B351" s="10" t="s">
        <v>698</v>
      </c>
      <c r="C351" s="9" t="s">
        <v>699</v>
      </c>
      <c r="D351" s="9"/>
      <c r="E351" s="10" t="s">
        <v>91</v>
      </c>
      <c r="F351" s="33" t="n">
        <v>148.8</v>
      </c>
      <c r="G351" s="33" t="n">
        <v>0</v>
      </c>
      <c r="H351" s="33" t="n">
        <f aca="false">F351*AO351</f>
        <v>0</v>
      </c>
      <c r="I351" s="33" t="n">
        <f aca="false">F351*AP351</f>
        <v>0</v>
      </c>
      <c r="J351" s="33" t="n">
        <f aca="false">F351*G351</f>
        <v>0</v>
      </c>
      <c r="K351" s="34" t="s">
        <v>55</v>
      </c>
      <c r="Z351" s="33" t="n">
        <f aca="false">IF(AQ351="5",BJ351,0)</f>
        <v>0</v>
      </c>
      <c r="AB351" s="33" t="n">
        <f aca="false">IF(AQ351="1",BH351,0)</f>
        <v>0</v>
      </c>
      <c r="AC351" s="33" t="n">
        <f aca="false">IF(AQ351="1",BI351,0)</f>
        <v>0</v>
      </c>
      <c r="AD351" s="33" t="n">
        <f aca="false">IF(AQ351="7",BH351,0)</f>
        <v>0</v>
      </c>
      <c r="AE351" s="33" t="n">
        <f aca="false">IF(AQ351="7",BI351,0)</f>
        <v>0</v>
      </c>
      <c r="AF351" s="33" t="n">
        <f aca="false">IF(AQ351="2",BH351,0)</f>
        <v>0</v>
      </c>
      <c r="AG351" s="33" t="n">
        <f aca="false">IF(AQ351="2",BI351,0)</f>
        <v>0</v>
      </c>
      <c r="AH351" s="33" t="n">
        <f aca="false">IF(AQ351="0",BJ351,0)</f>
        <v>0</v>
      </c>
      <c r="AI351" s="18"/>
      <c r="AJ351" s="33" t="n">
        <f aca="false">IF(AN351=0,J351,0)</f>
        <v>0</v>
      </c>
      <c r="AK351" s="33" t="n">
        <f aca="false">IF(AN351=12,J351,0)</f>
        <v>0</v>
      </c>
      <c r="AL351" s="33" t="n">
        <f aca="false">IF(AN351=21,J351,0)</f>
        <v>0</v>
      </c>
      <c r="AN351" s="33" t="n">
        <v>12</v>
      </c>
      <c r="AO351" s="33" t="n">
        <f aca="false">G351*0.049784615</f>
        <v>0</v>
      </c>
      <c r="AP351" s="33" t="n">
        <f aca="false">G351*(1-0.049784615)</f>
        <v>0</v>
      </c>
      <c r="AQ351" s="35" t="s">
        <v>80</v>
      </c>
      <c r="AV351" s="33" t="n">
        <f aca="false">AW351+AX351</f>
        <v>0</v>
      </c>
      <c r="AW351" s="33" t="n">
        <f aca="false">F351*AO351</f>
        <v>0</v>
      </c>
      <c r="AX351" s="33" t="n">
        <f aca="false">F351*AP351</f>
        <v>0</v>
      </c>
      <c r="AY351" s="35" t="s">
        <v>700</v>
      </c>
      <c r="AZ351" s="35" t="s">
        <v>371</v>
      </c>
      <c r="BA351" s="18" t="s">
        <v>57</v>
      </c>
      <c r="BC351" s="33" t="n">
        <f aca="false">AW351+AX351</f>
        <v>0</v>
      </c>
      <c r="BD351" s="33" t="n">
        <f aca="false">G351/(100-BE351)*100</f>
        <v>0</v>
      </c>
      <c r="BE351" s="33" t="n">
        <v>0</v>
      </c>
      <c r="BF351" s="33" t="n">
        <f aca="false">352</f>
        <v>352</v>
      </c>
      <c r="BH351" s="33" t="n">
        <f aca="false">F351*AO351</f>
        <v>0</v>
      </c>
      <c r="BI351" s="33" t="n">
        <f aca="false">F351*AP351</f>
        <v>0</v>
      </c>
      <c r="BJ351" s="33" t="n">
        <f aca="false">F351*G351</f>
        <v>0</v>
      </c>
      <c r="BK351" s="33"/>
      <c r="BL351" s="33" t="n">
        <v>767</v>
      </c>
      <c r="BW351" s="33" t="n">
        <v>12</v>
      </c>
      <c r="BX351" s="9" t="s">
        <v>699</v>
      </c>
    </row>
    <row r="352" customFormat="false" ht="23.85" hidden="false" customHeight="false" outlineLevel="0" collapsed="false">
      <c r="A352" s="36"/>
      <c r="C352" s="37" t="s">
        <v>701</v>
      </c>
      <c r="D352" s="40" t="s">
        <v>702</v>
      </c>
      <c r="F352" s="38" t="n">
        <v>148.8</v>
      </c>
      <c r="K352" s="39"/>
    </row>
    <row r="353" customFormat="false" ht="15" hidden="false" customHeight="false" outlineLevel="0" collapsed="false">
      <c r="A353" s="36"/>
      <c r="C353" s="37"/>
      <c r="D353" s="37"/>
      <c r="F353" s="38" t="n">
        <v>0</v>
      </c>
      <c r="K353" s="39"/>
    </row>
    <row r="354" customFormat="false" ht="15" hidden="false" customHeight="true" outlineLevel="0" collapsed="false">
      <c r="A354" s="32" t="s">
        <v>703</v>
      </c>
      <c r="B354" s="10" t="s">
        <v>704</v>
      </c>
      <c r="C354" s="9" t="s">
        <v>705</v>
      </c>
      <c r="D354" s="9"/>
      <c r="E354" s="10" t="s">
        <v>163</v>
      </c>
      <c r="F354" s="33" t="n">
        <v>192</v>
      </c>
      <c r="G354" s="33" t="n">
        <v>0</v>
      </c>
      <c r="H354" s="33" t="n">
        <f aca="false">F354*AO354</f>
        <v>0</v>
      </c>
      <c r="I354" s="33" t="n">
        <f aca="false">F354*AP354</f>
        <v>0</v>
      </c>
      <c r="J354" s="33" t="n">
        <f aca="false">F354*G354</f>
        <v>0</v>
      </c>
      <c r="K354" s="34" t="s">
        <v>55</v>
      </c>
      <c r="Z354" s="33" t="n">
        <f aca="false">IF(AQ354="5",BJ354,0)</f>
        <v>0</v>
      </c>
      <c r="AB354" s="33" t="n">
        <f aca="false">IF(AQ354="1",BH354,0)</f>
        <v>0</v>
      </c>
      <c r="AC354" s="33" t="n">
        <f aca="false">IF(AQ354="1",BI354,0)</f>
        <v>0</v>
      </c>
      <c r="AD354" s="33" t="n">
        <f aca="false">IF(AQ354="7",BH354,0)</f>
        <v>0</v>
      </c>
      <c r="AE354" s="33" t="n">
        <f aca="false">IF(AQ354="7",BI354,0)</f>
        <v>0</v>
      </c>
      <c r="AF354" s="33" t="n">
        <f aca="false">IF(AQ354="2",BH354,0)</f>
        <v>0</v>
      </c>
      <c r="AG354" s="33" t="n">
        <f aca="false">IF(AQ354="2",BI354,0)</f>
        <v>0</v>
      </c>
      <c r="AH354" s="33" t="n">
        <f aca="false">IF(AQ354="0",BJ354,0)</f>
        <v>0</v>
      </c>
      <c r="AI354" s="18"/>
      <c r="AJ354" s="33" t="n">
        <f aca="false">IF(AN354=0,J354,0)</f>
        <v>0</v>
      </c>
      <c r="AK354" s="33" t="n">
        <f aca="false">IF(AN354=12,J354,0)</f>
        <v>0</v>
      </c>
      <c r="AL354" s="33" t="n">
        <f aca="false">IF(AN354=21,J354,0)</f>
        <v>0</v>
      </c>
      <c r="AN354" s="33" t="n">
        <v>12</v>
      </c>
      <c r="AO354" s="33" t="n">
        <f aca="false">G354*1</f>
        <v>0</v>
      </c>
      <c r="AP354" s="33" t="n">
        <f aca="false">G354*(1-1)</f>
        <v>0</v>
      </c>
      <c r="AQ354" s="35" t="s">
        <v>80</v>
      </c>
      <c r="AV354" s="33" t="n">
        <f aca="false">AW354+AX354</f>
        <v>0</v>
      </c>
      <c r="AW354" s="33" t="n">
        <f aca="false">F354*AO354</f>
        <v>0</v>
      </c>
      <c r="AX354" s="33" t="n">
        <f aca="false">F354*AP354</f>
        <v>0</v>
      </c>
      <c r="AY354" s="35" t="s">
        <v>700</v>
      </c>
      <c r="AZ354" s="35" t="s">
        <v>371</v>
      </c>
      <c r="BA354" s="18" t="s">
        <v>57</v>
      </c>
      <c r="BC354" s="33" t="n">
        <f aca="false">AW354+AX354</f>
        <v>0</v>
      </c>
      <c r="BD354" s="33" t="n">
        <f aca="false">G354/(100-BE354)*100</f>
        <v>0</v>
      </c>
      <c r="BE354" s="33" t="n">
        <v>0</v>
      </c>
      <c r="BF354" s="33" t="n">
        <f aca="false">355</f>
        <v>355</v>
      </c>
      <c r="BH354" s="33" t="n">
        <f aca="false">F354*AO354</f>
        <v>0</v>
      </c>
      <c r="BI354" s="33" t="n">
        <f aca="false">F354*AP354</f>
        <v>0</v>
      </c>
      <c r="BJ354" s="33" t="n">
        <f aca="false">F354*G354</f>
        <v>0</v>
      </c>
      <c r="BK354" s="33"/>
      <c r="BL354" s="33" t="n">
        <v>767</v>
      </c>
      <c r="BW354" s="33" t="n">
        <v>12</v>
      </c>
      <c r="BX354" s="9" t="s">
        <v>705</v>
      </c>
    </row>
    <row r="355" customFormat="false" ht="15" hidden="false" customHeight="false" outlineLevel="0" collapsed="false">
      <c r="A355" s="36"/>
      <c r="C355" s="37" t="s">
        <v>706</v>
      </c>
      <c r="D355" s="37"/>
      <c r="F355" s="38" t="n">
        <v>192</v>
      </c>
      <c r="K355" s="39"/>
    </row>
    <row r="356" customFormat="false" ht="15" hidden="false" customHeight="true" outlineLevel="0" collapsed="false">
      <c r="A356" s="32" t="s">
        <v>707</v>
      </c>
      <c r="B356" s="10" t="s">
        <v>708</v>
      </c>
      <c r="C356" s="9" t="s">
        <v>709</v>
      </c>
      <c r="D356" s="9"/>
      <c r="E356" s="10" t="s">
        <v>91</v>
      </c>
      <c r="F356" s="33" t="n">
        <v>148.8</v>
      </c>
      <c r="G356" s="33" t="n">
        <v>0</v>
      </c>
      <c r="H356" s="33" t="n">
        <f aca="false">F356*AO356</f>
        <v>0</v>
      </c>
      <c r="I356" s="33" t="n">
        <f aca="false">F356*AP356</f>
        <v>0</v>
      </c>
      <c r="J356" s="33" t="n">
        <f aca="false">F356*G356</f>
        <v>0</v>
      </c>
      <c r="K356" s="34" t="s">
        <v>55</v>
      </c>
      <c r="Z356" s="33" t="n">
        <f aca="false">IF(AQ356="5",BJ356,0)</f>
        <v>0</v>
      </c>
      <c r="AB356" s="33" t="n">
        <f aca="false">IF(AQ356="1",BH356,0)</f>
        <v>0</v>
      </c>
      <c r="AC356" s="33" t="n">
        <f aca="false">IF(AQ356="1",BI356,0)</f>
        <v>0</v>
      </c>
      <c r="AD356" s="33" t="n">
        <f aca="false">IF(AQ356="7",BH356,0)</f>
        <v>0</v>
      </c>
      <c r="AE356" s="33" t="n">
        <f aca="false">IF(AQ356="7",BI356,0)</f>
        <v>0</v>
      </c>
      <c r="AF356" s="33" t="n">
        <f aca="false">IF(AQ356="2",BH356,0)</f>
        <v>0</v>
      </c>
      <c r="AG356" s="33" t="n">
        <f aca="false">IF(AQ356="2",BI356,0)</f>
        <v>0</v>
      </c>
      <c r="AH356" s="33" t="n">
        <f aca="false">IF(AQ356="0",BJ356,0)</f>
        <v>0</v>
      </c>
      <c r="AI356" s="18"/>
      <c r="AJ356" s="33" t="n">
        <f aca="false">IF(AN356=0,J356,0)</f>
        <v>0</v>
      </c>
      <c r="AK356" s="33" t="n">
        <f aca="false">IF(AN356=12,J356,0)</f>
        <v>0</v>
      </c>
      <c r="AL356" s="33" t="n">
        <f aca="false">IF(AN356=21,J356,0)</f>
        <v>0</v>
      </c>
      <c r="AN356" s="33" t="n">
        <v>12</v>
      </c>
      <c r="AO356" s="33" t="n">
        <f aca="false">G356*0.782729683</f>
        <v>0</v>
      </c>
      <c r="AP356" s="33" t="n">
        <f aca="false">G356*(1-0.782729683)</f>
        <v>0</v>
      </c>
      <c r="AQ356" s="35" t="s">
        <v>80</v>
      </c>
      <c r="AV356" s="33" t="n">
        <f aca="false">AW356+AX356</f>
        <v>0</v>
      </c>
      <c r="AW356" s="33" t="n">
        <f aca="false">F356*AO356</f>
        <v>0</v>
      </c>
      <c r="AX356" s="33" t="n">
        <f aca="false">F356*AP356</f>
        <v>0</v>
      </c>
      <c r="AY356" s="35" t="s">
        <v>700</v>
      </c>
      <c r="AZ356" s="35" t="s">
        <v>371</v>
      </c>
      <c r="BA356" s="18" t="s">
        <v>57</v>
      </c>
      <c r="BC356" s="33" t="n">
        <f aca="false">AW356+AX356</f>
        <v>0</v>
      </c>
      <c r="BD356" s="33" t="n">
        <f aca="false">G356/(100-BE356)*100</f>
        <v>0</v>
      </c>
      <c r="BE356" s="33" t="n">
        <v>0</v>
      </c>
      <c r="BF356" s="33" t="n">
        <f aca="false">357</f>
        <v>357</v>
      </c>
      <c r="BH356" s="33" t="n">
        <f aca="false">F356*AO356</f>
        <v>0</v>
      </c>
      <c r="BI356" s="33" t="n">
        <f aca="false">F356*AP356</f>
        <v>0</v>
      </c>
      <c r="BJ356" s="33" t="n">
        <f aca="false">F356*G356</f>
        <v>0</v>
      </c>
      <c r="BK356" s="33"/>
      <c r="BL356" s="33" t="n">
        <v>767</v>
      </c>
      <c r="BW356" s="33" t="n">
        <v>12</v>
      </c>
      <c r="BX356" s="9" t="s">
        <v>709</v>
      </c>
    </row>
    <row r="357" customFormat="false" ht="15" hidden="false" customHeight="false" outlineLevel="0" collapsed="false">
      <c r="A357" s="36"/>
      <c r="C357" s="37" t="s">
        <v>701</v>
      </c>
      <c r="D357" s="37"/>
      <c r="F357" s="38" t="n">
        <v>148.8</v>
      </c>
      <c r="K357" s="39"/>
    </row>
    <row r="358" customFormat="false" ht="15" hidden="false" customHeight="true" outlineLevel="0" collapsed="false">
      <c r="A358" s="32" t="s">
        <v>710</v>
      </c>
      <c r="B358" s="10" t="s">
        <v>711</v>
      </c>
      <c r="C358" s="9" t="s">
        <v>712</v>
      </c>
      <c r="D358" s="9"/>
      <c r="E358" s="10" t="s">
        <v>91</v>
      </c>
      <c r="F358" s="33" t="n">
        <v>33.6</v>
      </c>
      <c r="G358" s="33" t="n">
        <v>0</v>
      </c>
      <c r="H358" s="33" t="n">
        <f aca="false">F358*AO358</f>
        <v>0</v>
      </c>
      <c r="I358" s="33" t="n">
        <f aca="false">F358*AP358</f>
        <v>0</v>
      </c>
      <c r="J358" s="33" t="n">
        <f aca="false">F358*G358</f>
        <v>0</v>
      </c>
      <c r="K358" s="34" t="s">
        <v>55</v>
      </c>
      <c r="Z358" s="33" t="n">
        <f aca="false">IF(AQ358="5",BJ358,0)</f>
        <v>0</v>
      </c>
      <c r="AB358" s="33" t="n">
        <f aca="false">IF(AQ358="1",BH358,0)</f>
        <v>0</v>
      </c>
      <c r="AC358" s="33" t="n">
        <f aca="false">IF(AQ358="1",BI358,0)</f>
        <v>0</v>
      </c>
      <c r="AD358" s="33" t="n">
        <f aca="false">IF(AQ358="7",BH358,0)</f>
        <v>0</v>
      </c>
      <c r="AE358" s="33" t="n">
        <f aca="false">IF(AQ358="7",BI358,0)</f>
        <v>0</v>
      </c>
      <c r="AF358" s="33" t="n">
        <f aca="false">IF(AQ358="2",BH358,0)</f>
        <v>0</v>
      </c>
      <c r="AG358" s="33" t="n">
        <f aca="false">IF(AQ358="2",BI358,0)</f>
        <v>0</v>
      </c>
      <c r="AH358" s="33" t="n">
        <f aca="false">IF(AQ358="0",BJ358,0)</f>
        <v>0</v>
      </c>
      <c r="AI358" s="18"/>
      <c r="AJ358" s="33" t="n">
        <f aca="false">IF(AN358=0,J358,0)</f>
        <v>0</v>
      </c>
      <c r="AK358" s="33" t="n">
        <f aca="false">IF(AN358=12,J358,0)</f>
        <v>0</v>
      </c>
      <c r="AL358" s="33" t="n">
        <f aca="false">IF(AN358=21,J358,0)</f>
        <v>0</v>
      </c>
      <c r="AN358" s="33" t="n">
        <v>12</v>
      </c>
      <c r="AO358" s="33" t="n">
        <f aca="false">G358*0</f>
        <v>0</v>
      </c>
      <c r="AP358" s="33" t="n">
        <f aca="false">G358*(1-0)</f>
        <v>0</v>
      </c>
      <c r="AQ358" s="35" t="s">
        <v>80</v>
      </c>
      <c r="AV358" s="33" t="n">
        <f aca="false">AW358+AX358</f>
        <v>0</v>
      </c>
      <c r="AW358" s="33" t="n">
        <f aca="false">F358*AO358</f>
        <v>0</v>
      </c>
      <c r="AX358" s="33" t="n">
        <f aca="false">F358*AP358</f>
        <v>0</v>
      </c>
      <c r="AY358" s="35" t="s">
        <v>700</v>
      </c>
      <c r="AZ358" s="35" t="s">
        <v>371</v>
      </c>
      <c r="BA358" s="18" t="s">
        <v>57</v>
      </c>
      <c r="BC358" s="33" t="n">
        <f aca="false">AW358+AX358</f>
        <v>0</v>
      </c>
      <c r="BD358" s="33" t="n">
        <f aca="false">G358/(100-BE358)*100</f>
        <v>0</v>
      </c>
      <c r="BE358" s="33" t="n">
        <v>0</v>
      </c>
      <c r="BF358" s="33" t="n">
        <f aca="false">359</f>
        <v>359</v>
      </c>
      <c r="BH358" s="33" t="n">
        <f aca="false">F358*AO358</f>
        <v>0</v>
      </c>
      <c r="BI358" s="33" t="n">
        <f aca="false">F358*AP358</f>
        <v>0</v>
      </c>
      <c r="BJ358" s="33" t="n">
        <f aca="false">F358*G358</f>
        <v>0</v>
      </c>
      <c r="BK358" s="33"/>
      <c r="BL358" s="33" t="n">
        <v>767</v>
      </c>
      <c r="BW358" s="33" t="n">
        <v>12</v>
      </c>
      <c r="BX358" s="9" t="s">
        <v>712</v>
      </c>
    </row>
    <row r="359" customFormat="false" ht="15" hidden="false" customHeight="false" outlineLevel="0" collapsed="false">
      <c r="A359" s="36"/>
      <c r="C359" s="37" t="s">
        <v>713</v>
      </c>
      <c r="D359" s="37" t="s">
        <v>714</v>
      </c>
      <c r="F359" s="38" t="n">
        <v>33.6</v>
      </c>
      <c r="K359" s="39"/>
    </row>
    <row r="360" customFormat="false" ht="15" hidden="false" customHeight="true" outlineLevel="0" collapsed="false">
      <c r="A360" s="32" t="s">
        <v>715</v>
      </c>
      <c r="B360" s="10" t="s">
        <v>704</v>
      </c>
      <c r="C360" s="9" t="s">
        <v>705</v>
      </c>
      <c r="D360" s="9"/>
      <c r="E360" s="10" t="s">
        <v>163</v>
      </c>
      <c r="F360" s="33" t="n">
        <v>18</v>
      </c>
      <c r="G360" s="33" t="n">
        <v>0</v>
      </c>
      <c r="H360" s="33" t="n">
        <f aca="false">F360*AO360</f>
        <v>0</v>
      </c>
      <c r="I360" s="33" t="n">
        <f aca="false">F360*AP360</f>
        <v>0</v>
      </c>
      <c r="J360" s="33" t="n">
        <f aca="false">F360*G360</f>
        <v>0</v>
      </c>
      <c r="K360" s="34" t="s">
        <v>55</v>
      </c>
      <c r="Z360" s="33" t="n">
        <f aca="false">IF(AQ360="5",BJ360,0)</f>
        <v>0</v>
      </c>
      <c r="AB360" s="33" t="n">
        <f aca="false">IF(AQ360="1",BH360,0)</f>
        <v>0</v>
      </c>
      <c r="AC360" s="33" t="n">
        <f aca="false">IF(AQ360="1",BI360,0)</f>
        <v>0</v>
      </c>
      <c r="AD360" s="33" t="n">
        <f aca="false">IF(AQ360="7",BH360,0)</f>
        <v>0</v>
      </c>
      <c r="AE360" s="33" t="n">
        <f aca="false">IF(AQ360="7",BI360,0)</f>
        <v>0</v>
      </c>
      <c r="AF360" s="33" t="n">
        <f aca="false">IF(AQ360="2",BH360,0)</f>
        <v>0</v>
      </c>
      <c r="AG360" s="33" t="n">
        <f aca="false">IF(AQ360="2",BI360,0)</f>
        <v>0</v>
      </c>
      <c r="AH360" s="33" t="n">
        <f aca="false">IF(AQ360="0",BJ360,0)</f>
        <v>0</v>
      </c>
      <c r="AI360" s="18"/>
      <c r="AJ360" s="33" t="n">
        <f aca="false">IF(AN360=0,J360,0)</f>
        <v>0</v>
      </c>
      <c r="AK360" s="33" t="n">
        <f aca="false">IF(AN360=12,J360,0)</f>
        <v>0</v>
      </c>
      <c r="AL360" s="33" t="n">
        <f aca="false">IF(AN360=21,J360,0)</f>
        <v>0</v>
      </c>
      <c r="AN360" s="33" t="n">
        <v>12</v>
      </c>
      <c r="AO360" s="33" t="n">
        <f aca="false">G360*1</f>
        <v>0</v>
      </c>
      <c r="AP360" s="33" t="n">
        <f aca="false">G360*(1-1)</f>
        <v>0</v>
      </c>
      <c r="AQ360" s="35" t="s">
        <v>80</v>
      </c>
      <c r="AV360" s="33" t="n">
        <f aca="false">AW360+AX360</f>
        <v>0</v>
      </c>
      <c r="AW360" s="33" t="n">
        <f aca="false">F360*AO360</f>
        <v>0</v>
      </c>
      <c r="AX360" s="33" t="n">
        <f aca="false">F360*AP360</f>
        <v>0</v>
      </c>
      <c r="AY360" s="35" t="s">
        <v>700</v>
      </c>
      <c r="AZ360" s="35" t="s">
        <v>371</v>
      </c>
      <c r="BA360" s="18" t="s">
        <v>57</v>
      </c>
      <c r="BC360" s="33" t="n">
        <f aca="false">AW360+AX360</f>
        <v>0</v>
      </c>
      <c r="BD360" s="33" t="n">
        <f aca="false">G360/(100-BE360)*100</f>
        <v>0</v>
      </c>
      <c r="BE360" s="33" t="n">
        <v>0</v>
      </c>
      <c r="BF360" s="33" t="n">
        <f aca="false">361</f>
        <v>361</v>
      </c>
      <c r="BH360" s="33" t="n">
        <f aca="false">F360*AO360</f>
        <v>0</v>
      </c>
      <c r="BI360" s="33" t="n">
        <f aca="false">F360*AP360</f>
        <v>0</v>
      </c>
      <c r="BJ360" s="33" t="n">
        <f aca="false">F360*G360</f>
        <v>0</v>
      </c>
      <c r="BK360" s="33"/>
      <c r="BL360" s="33" t="n">
        <v>767</v>
      </c>
      <c r="BW360" s="33" t="n">
        <v>12</v>
      </c>
      <c r="BX360" s="9" t="s">
        <v>705</v>
      </c>
    </row>
    <row r="361" customFormat="false" ht="15" hidden="false" customHeight="false" outlineLevel="0" collapsed="false">
      <c r="A361" s="36"/>
      <c r="C361" s="37" t="s">
        <v>119</v>
      </c>
      <c r="D361" s="37"/>
      <c r="F361" s="38" t="n">
        <v>18</v>
      </c>
      <c r="K361" s="39"/>
    </row>
    <row r="362" customFormat="false" ht="15" hidden="false" customHeight="true" outlineLevel="0" collapsed="false">
      <c r="A362" s="32" t="s">
        <v>716</v>
      </c>
      <c r="B362" s="10" t="s">
        <v>717</v>
      </c>
      <c r="C362" s="9" t="s">
        <v>718</v>
      </c>
      <c r="D362" s="9"/>
      <c r="E362" s="10" t="s">
        <v>91</v>
      </c>
      <c r="F362" s="33" t="n">
        <v>67.2</v>
      </c>
      <c r="G362" s="33" t="n">
        <v>0</v>
      </c>
      <c r="H362" s="33" t="n">
        <f aca="false">F362*AO362</f>
        <v>0</v>
      </c>
      <c r="I362" s="33" t="n">
        <f aca="false">F362*AP362</f>
        <v>0</v>
      </c>
      <c r="J362" s="33" t="n">
        <f aca="false">F362*G362</f>
        <v>0</v>
      </c>
      <c r="K362" s="34" t="s">
        <v>55</v>
      </c>
      <c r="Z362" s="33" t="n">
        <f aca="false">IF(AQ362="5",BJ362,0)</f>
        <v>0</v>
      </c>
      <c r="AB362" s="33" t="n">
        <f aca="false">IF(AQ362="1",BH362,0)</f>
        <v>0</v>
      </c>
      <c r="AC362" s="33" t="n">
        <f aca="false">IF(AQ362="1",BI362,0)</f>
        <v>0</v>
      </c>
      <c r="AD362" s="33" t="n">
        <f aca="false">IF(AQ362="7",BH362,0)</f>
        <v>0</v>
      </c>
      <c r="AE362" s="33" t="n">
        <f aca="false">IF(AQ362="7",BI362,0)</f>
        <v>0</v>
      </c>
      <c r="AF362" s="33" t="n">
        <f aca="false">IF(AQ362="2",BH362,0)</f>
        <v>0</v>
      </c>
      <c r="AG362" s="33" t="n">
        <f aca="false">IF(AQ362="2",BI362,0)</f>
        <v>0</v>
      </c>
      <c r="AH362" s="33" t="n">
        <f aca="false">IF(AQ362="0",BJ362,0)</f>
        <v>0</v>
      </c>
      <c r="AI362" s="18"/>
      <c r="AJ362" s="33" t="n">
        <f aca="false">IF(AN362=0,J362,0)</f>
        <v>0</v>
      </c>
      <c r="AK362" s="33" t="n">
        <f aca="false">IF(AN362=12,J362,0)</f>
        <v>0</v>
      </c>
      <c r="AL362" s="33" t="n">
        <f aca="false">IF(AN362=21,J362,0)</f>
        <v>0</v>
      </c>
      <c r="AN362" s="33" t="n">
        <v>12</v>
      </c>
      <c r="AO362" s="33" t="n">
        <f aca="false">G362*0.437722222</f>
        <v>0</v>
      </c>
      <c r="AP362" s="33" t="n">
        <f aca="false">G362*(1-0.437722222)</f>
        <v>0</v>
      </c>
      <c r="AQ362" s="35" t="s">
        <v>80</v>
      </c>
      <c r="AV362" s="33" t="n">
        <f aca="false">AW362+AX362</f>
        <v>0</v>
      </c>
      <c r="AW362" s="33" t="n">
        <f aca="false">F362*AO362</f>
        <v>0</v>
      </c>
      <c r="AX362" s="33" t="n">
        <f aca="false">F362*AP362</f>
        <v>0</v>
      </c>
      <c r="AY362" s="35" t="s">
        <v>700</v>
      </c>
      <c r="AZ362" s="35" t="s">
        <v>371</v>
      </c>
      <c r="BA362" s="18" t="s">
        <v>57</v>
      </c>
      <c r="BC362" s="33" t="n">
        <f aca="false">AW362+AX362</f>
        <v>0</v>
      </c>
      <c r="BD362" s="33" t="n">
        <f aca="false">G362/(100-BE362)*100</f>
        <v>0</v>
      </c>
      <c r="BE362" s="33" t="n">
        <v>0</v>
      </c>
      <c r="BF362" s="33" t="n">
        <f aca="false">363</f>
        <v>363</v>
      </c>
      <c r="BH362" s="33" t="n">
        <f aca="false">F362*AO362</f>
        <v>0</v>
      </c>
      <c r="BI362" s="33" t="n">
        <f aca="false">F362*AP362</f>
        <v>0</v>
      </c>
      <c r="BJ362" s="33" t="n">
        <f aca="false">F362*G362</f>
        <v>0</v>
      </c>
      <c r="BK362" s="33"/>
      <c r="BL362" s="33" t="n">
        <v>767</v>
      </c>
      <c r="BW362" s="33" t="n">
        <v>12</v>
      </c>
      <c r="BX362" s="9" t="s">
        <v>718</v>
      </c>
    </row>
    <row r="363" customFormat="false" ht="15" hidden="false" customHeight="false" outlineLevel="0" collapsed="false">
      <c r="A363" s="36"/>
      <c r="C363" s="37" t="s">
        <v>719</v>
      </c>
      <c r="D363" s="37" t="s">
        <v>720</v>
      </c>
      <c r="F363" s="38" t="n">
        <v>67.2</v>
      </c>
      <c r="K363" s="39"/>
    </row>
    <row r="364" customFormat="false" ht="15" hidden="false" customHeight="true" outlineLevel="0" collapsed="false">
      <c r="A364" s="32" t="s">
        <v>721</v>
      </c>
      <c r="B364" s="10" t="s">
        <v>722</v>
      </c>
      <c r="C364" s="9" t="s">
        <v>723</v>
      </c>
      <c r="D364" s="9"/>
      <c r="E364" s="10" t="s">
        <v>91</v>
      </c>
      <c r="F364" s="33" t="n">
        <v>9.6</v>
      </c>
      <c r="G364" s="33" t="n">
        <v>0</v>
      </c>
      <c r="H364" s="33" t="n">
        <f aca="false">F364*AO364</f>
        <v>0</v>
      </c>
      <c r="I364" s="33" t="n">
        <f aca="false">F364*AP364</f>
        <v>0</v>
      </c>
      <c r="J364" s="33" t="n">
        <f aca="false">F364*G364</f>
        <v>0</v>
      </c>
      <c r="K364" s="34" t="s">
        <v>55</v>
      </c>
      <c r="Z364" s="33" t="n">
        <f aca="false">IF(AQ364="5",BJ364,0)</f>
        <v>0</v>
      </c>
      <c r="AB364" s="33" t="n">
        <f aca="false">IF(AQ364="1",BH364,0)</f>
        <v>0</v>
      </c>
      <c r="AC364" s="33" t="n">
        <f aca="false">IF(AQ364="1",BI364,0)</f>
        <v>0</v>
      </c>
      <c r="AD364" s="33" t="n">
        <f aca="false">IF(AQ364="7",BH364,0)</f>
        <v>0</v>
      </c>
      <c r="AE364" s="33" t="n">
        <f aca="false">IF(AQ364="7",BI364,0)</f>
        <v>0</v>
      </c>
      <c r="AF364" s="33" t="n">
        <f aca="false">IF(AQ364="2",BH364,0)</f>
        <v>0</v>
      </c>
      <c r="AG364" s="33" t="n">
        <f aca="false">IF(AQ364="2",BI364,0)</f>
        <v>0</v>
      </c>
      <c r="AH364" s="33" t="n">
        <f aca="false">IF(AQ364="0",BJ364,0)</f>
        <v>0</v>
      </c>
      <c r="AI364" s="18"/>
      <c r="AJ364" s="33" t="n">
        <f aca="false">IF(AN364=0,J364,0)</f>
        <v>0</v>
      </c>
      <c r="AK364" s="33" t="n">
        <f aca="false">IF(AN364=12,J364,0)</f>
        <v>0</v>
      </c>
      <c r="AL364" s="33" t="n">
        <f aca="false">IF(AN364=21,J364,0)</f>
        <v>0</v>
      </c>
      <c r="AN364" s="33" t="n">
        <v>12</v>
      </c>
      <c r="AO364" s="33" t="n">
        <f aca="false">G364*0.027306099</f>
        <v>0</v>
      </c>
      <c r="AP364" s="33" t="n">
        <f aca="false">G364*(1-0.027306099)</f>
        <v>0</v>
      </c>
      <c r="AQ364" s="35" t="s">
        <v>80</v>
      </c>
      <c r="AV364" s="33" t="n">
        <f aca="false">AW364+AX364</f>
        <v>0</v>
      </c>
      <c r="AW364" s="33" t="n">
        <f aca="false">F364*AO364</f>
        <v>0</v>
      </c>
      <c r="AX364" s="33" t="n">
        <f aca="false">F364*AP364</f>
        <v>0</v>
      </c>
      <c r="AY364" s="35" t="s">
        <v>700</v>
      </c>
      <c r="AZ364" s="35" t="s">
        <v>371</v>
      </c>
      <c r="BA364" s="18" t="s">
        <v>57</v>
      </c>
      <c r="BC364" s="33" t="n">
        <f aca="false">AW364+AX364</f>
        <v>0</v>
      </c>
      <c r="BD364" s="33" t="n">
        <f aca="false">G364/(100-BE364)*100</f>
        <v>0</v>
      </c>
      <c r="BE364" s="33" t="n">
        <v>0</v>
      </c>
      <c r="BF364" s="33" t="n">
        <f aca="false">365</f>
        <v>365</v>
      </c>
      <c r="BH364" s="33" t="n">
        <f aca="false">F364*AO364</f>
        <v>0</v>
      </c>
      <c r="BI364" s="33" t="n">
        <f aca="false">F364*AP364</f>
        <v>0</v>
      </c>
      <c r="BJ364" s="33" t="n">
        <f aca="false">F364*G364</f>
        <v>0</v>
      </c>
      <c r="BK364" s="33"/>
      <c r="BL364" s="33" t="n">
        <v>767</v>
      </c>
      <c r="BW364" s="33" t="n">
        <v>12</v>
      </c>
      <c r="BX364" s="9" t="s">
        <v>723</v>
      </c>
    </row>
    <row r="365" customFormat="false" ht="15" hidden="false" customHeight="false" outlineLevel="0" collapsed="false">
      <c r="A365" s="36"/>
      <c r="C365" s="37" t="s">
        <v>331</v>
      </c>
      <c r="D365" s="37"/>
      <c r="F365" s="38" t="n">
        <v>9.6</v>
      </c>
      <c r="K365" s="39"/>
    </row>
    <row r="366" customFormat="false" ht="15" hidden="false" customHeight="true" outlineLevel="0" collapsed="false">
      <c r="A366" s="32" t="s">
        <v>724</v>
      </c>
      <c r="B366" s="10" t="s">
        <v>725</v>
      </c>
      <c r="C366" s="9" t="s">
        <v>726</v>
      </c>
      <c r="D366" s="9"/>
      <c r="E366" s="10" t="s">
        <v>163</v>
      </c>
      <c r="F366" s="33" t="n">
        <v>72</v>
      </c>
      <c r="G366" s="33" t="n">
        <v>0</v>
      </c>
      <c r="H366" s="33" t="n">
        <f aca="false">F366*AO366</f>
        <v>0</v>
      </c>
      <c r="I366" s="33" t="n">
        <f aca="false">F366*AP366</f>
        <v>0</v>
      </c>
      <c r="J366" s="33" t="n">
        <f aca="false">F366*G366</f>
        <v>0</v>
      </c>
      <c r="K366" s="34" t="s">
        <v>55</v>
      </c>
      <c r="Z366" s="33" t="n">
        <f aca="false">IF(AQ366="5",BJ366,0)</f>
        <v>0</v>
      </c>
      <c r="AB366" s="33" t="n">
        <f aca="false">IF(AQ366="1",BH366,0)</f>
        <v>0</v>
      </c>
      <c r="AC366" s="33" t="n">
        <f aca="false">IF(AQ366="1",BI366,0)</f>
        <v>0</v>
      </c>
      <c r="AD366" s="33" t="n">
        <f aca="false">IF(AQ366="7",BH366,0)</f>
        <v>0</v>
      </c>
      <c r="AE366" s="33" t="n">
        <f aca="false">IF(AQ366="7",BI366,0)</f>
        <v>0</v>
      </c>
      <c r="AF366" s="33" t="n">
        <f aca="false">IF(AQ366="2",BH366,0)</f>
        <v>0</v>
      </c>
      <c r="AG366" s="33" t="n">
        <f aca="false">IF(AQ366="2",BI366,0)</f>
        <v>0</v>
      </c>
      <c r="AH366" s="33" t="n">
        <f aca="false">IF(AQ366="0",BJ366,0)</f>
        <v>0</v>
      </c>
      <c r="AI366" s="18"/>
      <c r="AJ366" s="33" t="n">
        <f aca="false">IF(AN366=0,J366,0)</f>
        <v>0</v>
      </c>
      <c r="AK366" s="33" t="n">
        <f aca="false">IF(AN366=12,J366,0)</f>
        <v>0</v>
      </c>
      <c r="AL366" s="33" t="n">
        <f aca="false">IF(AN366=21,J366,0)</f>
        <v>0</v>
      </c>
      <c r="AN366" s="33" t="n">
        <v>12</v>
      </c>
      <c r="AO366" s="33" t="n">
        <f aca="false">G366*0</f>
        <v>0</v>
      </c>
      <c r="AP366" s="33" t="n">
        <f aca="false">G366*(1-0)</f>
        <v>0</v>
      </c>
      <c r="AQ366" s="35" t="s">
        <v>80</v>
      </c>
      <c r="AV366" s="33" t="n">
        <f aca="false">AW366+AX366</f>
        <v>0</v>
      </c>
      <c r="AW366" s="33" t="n">
        <f aca="false">F366*AO366</f>
        <v>0</v>
      </c>
      <c r="AX366" s="33" t="n">
        <f aca="false">F366*AP366</f>
        <v>0</v>
      </c>
      <c r="AY366" s="35" t="s">
        <v>700</v>
      </c>
      <c r="AZ366" s="35" t="s">
        <v>371</v>
      </c>
      <c r="BA366" s="18" t="s">
        <v>57</v>
      </c>
      <c r="BC366" s="33" t="n">
        <f aca="false">AW366+AX366</f>
        <v>0</v>
      </c>
      <c r="BD366" s="33" t="n">
        <f aca="false">G366/(100-BE366)*100</f>
        <v>0</v>
      </c>
      <c r="BE366" s="33" t="n">
        <v>0</v>
      </c>
      <c r="BF366" s="33" t="n">
        <f aca="false">367</f>
        <v>367</v>
      </c>
      <c r="BH366" s="33" t="n">
        <f aca="false">F366*AO366</f>
        <v>0</v>
      </c>
      <c r="BI366" s="33" t="n">
        <f aca="false">F366*AP366</f>
        <v>0</v>
      </c>
      <c r="BJ366" s="33" t="n">
        <f aca="false">F366*G366</f>
        <v>0</v>
      </c>
      <c r="BK366" s="33"/>
      <c r="BL366" s="33" t="n">
        <v>767</v>
      </c>
      <c r="BW366" s="33" t="n">
        <v>12</v>
      </c>
      <c r="BX366" s="9" t="s">
        <v>726</v>
      </c>
    </row>
    <row r="367" customFormat="false" ht="15" hidden="false" customHeight="false" outlineLevel="0" collapsed="false">
      <c r="A367" s="36"/>
      <c r="C367" s="37" t="s">
        <v>727</v>
      </c>
      <c r="D367" s="37"/>
      <c r="F367" s="38" t="n">
        <v>72</v>
      </c>
      <c r="K367" s="39"/>
    </row>
    <row r="368" customFormat="false" ht="15" hidden="false" customHeight="true" outlineLevel="0" collapsed="false">
      <c r="A368" s="32" t="s">
        <v>728</v>
      </c>
      <c r="B368" s="10" t="s">
        <v>729</v>
      </c>
      <c r="C368" s="9" t="s">
        <v>730</v>
      </c>
      <c r="D368" s="9"/>
      <c r="E368" s="10" t="s">
        <v>54</v>
      </c>
      <c r="F368" s="33" t="n">
        <v>24</v>
      </c>
      <c r="G368" s="33" t="n">
        <v>0</v>
      </c>
      <c r="H368" s="33" t="n">
        <f aca="false">F368*AO368</f>
        <v>0</v>
      </c>
      <c r="I368" s="33" t="n">
        <f aca="false">F368*AP368</f>
        <v>0</v>
      </c>
      <c r="J368" s="33" t="n">
        <f aca="false">F368*G368</f>
        <v>0</v>
      </c>
      <c r="K368" s="34" t="s">
        <v>55</v>
      </c>
      <c r="Z368" s="33" t="n">
        <f aca="false">IF(AQ368="5",BJ368,0)</f>
        <v>0</v>
      </c>
      <c r="AB368" s="33" t="n">
        <f aca="false">IF(AQ368="1",BH368,0)</f>
        <v>0</v>
      </c>
      <c r="AC368" s="33" t="n">
        <f aca="false">IF(AQ368="1",BI368,0)</f>
        <v>0</v>
      </c>
      <c r="AD368" s="33" t="n">
        <f aca="false">IF(AQ368="7",BH368,0)</f>
        <v>0</v>
      </c>
      <c r="AE368" s="33" t="n">
        <f aca="false">IF(AQ368="7",BI368,0)</f>
        <v>0</v>
      </c>
      <c r="AF368" s="33" t="n">
        <f aca="false">IF(AQ368="2",BH368,0)</f>
        <v>0</v>
      </c>
      <c r="AG368" s="33" t="n">
        <f aca="false">IF(AQ368="2",BI368,0)</f>
        <v>0</v>
      </c>
      <c r="AH368" s="33" t="n">
        <f aca="false">IF(AQ368="0",BJ368,0)</f>
        <v>0</v>
      </c>
      <c r="AI368" s="18"/>
      <c r="AJ368" s="33" t="n">
        <f aca="false">IF(AN368=0,J368,0)</f>
        <v>0</v>
      </c>
      <c r="AK368" s="33" t="n">
        <f aca="false">IF(AN368=12,J368,0)</f>
        <v>0</v>
      </c>
      <c r="AL368" s="33" t="n">
        <f aca="false">IF(AN368=21,J368,0)</f>
        <v>0</v>
      </c>
      <c r="AN368" s="33" t="n">
        <v>12</v>
      </c>
      <c r="AO368" s="33" t="n">
        <f aca="false">G368*0.05071802</f>
        <v>0</v>
      </c>
      <c r="AP368" s="33" t="n">
        <f aca="false">G368*(1-0.05071802)</f>
        <v>0</v>
      </c>
      <c r="AQ368" s="35" t="s">
        <v>80</v>
      </c>
      <c r="AV368" s="33" t="n">
        <f aca="false">AW368+AX368</f>
        <v>0</v>
      </c>
      <c r="AW368" s="33" t="n">
        <f aca="false">F368*AO368</f>
        <v>0</v>
      </c>
      <c r="AX368" s="33" t="n">
        <f aca="false">F368*AP368</f>
        <v>0</v>
      </c>
      <c r="AY368" s="35" t="s">
        <v>700</v>
      </c>
      <c r="AZ368" s="35" t="s">
        <v>371</v>
      </c>
      <c r="BA368" s="18" t="s">
        <v>57</v>
      </c>
      <c r="BC368" s="33" t="n">
        <f aca="false">AW368+AX368</f>
        <v>0</v>
      </c>
      <c r="BD368" s="33" t="n">
        <f aca="false">G368/(100-BE368)*100</f>
        <v>0</v>
      </c>
      <c r="BE368" s="33" t="n">
        <v>0</v>
      </c>
      <c r="BF368" s="33" t="n">
        <f aca="false">369</f>
        <v>369</v>
      </c>
      <c r="BH368" s="33" t="n">
        <f aca="false">F368*AO368</f>
        <v>0</v>
      </c>
      <c r="BI368" s="33" t="n">
        <f aca="false">F368*AP368</f>
        <v>0</v>
      </c>
      <c r="BJ368" s="33" t="n">
        <f aca="false">F368*G368</f>
        <v>0</v>
      </c>
      <c r="BK368" s="33"/>
      <c r="BL368" s="33" t="n">
        <v>767</v>
      </c>
      <c r="BW368" s="33" t="n">
        <v>12</v>
      </c>
      <c r="BX368" s="9" t="s">
        <v>730</v>
      </c>
    </row>
    <row r="369" customFormat="false" ht="15" hidden="false" customHeight="false" outlineLevel="0" collapsed="false">
      <c r="A369" s="36"/>
      <c r="C369" s="37" t="s">
        <v>731</v>
      </c>
      <c r="D369" s="37" t="s">
        <v>732</v>
      </c>
      <c r="F369" s="38" t="n">
        <v>24</v>
      </c>
      <c r="K369" s="39"/>
    </row>
    <row r="370" customFormat="false" ht="15" hidden="false" customHeight="true" outlineLevel="0" collapsed="false">
      <c r="A370" s="32" t="s">
        <v>733</v>
      </c>
      <c r="B370" s="10" t="s">
        <v>734</v>
      </c>
      <c r="C370" s="9" t="s">
        <v>735</v>
      </c>
      <c r="D370" s="9"/>
      <c r="E370" s="10" t="s">
        <v>54</v>
      </c>
      <c r="F370" s="33" t="n">
        <v>24</v>
      </c>
      <c r="G370" s="33" t="n">
        <v>0</v>
      </c>
      <c r="H370" s="33" t="n">
        <f aca="false">F370*AO370</f>
        <v>0</v>
      </c>
      <c r="I370" s="33" t="n">
        <f aca="false">F370*AP370</f>
        <v>0</v>
      </c>
      <c r="J370" s="33" t="n">
        <f aca="false">F370*G370</f>
        <v>0</v>
      </c>
      <c r="K370" s="34" t="s">
        <v>55</v>
      </c>
      <c r="Z370" s="33" t="n">
        <f aca="false">IF(AQ370="5",BJ370,0)</f>
        <v>0</v>
      </c>
      <c r="AB370" s="33" t="n">
        <f aca="false">IF(AQ370="1",BH370,0)</f>
        <v>0</v>
      </c>
      <c r="AC370" s="33" t="n">
        <f aca="false">IF(AQ370="1",BI370,0)</f>
        <v>0</v>
      </c>
      <c r="AD370" s="33" t="n">
        <f aca="false">IF(AQ370="7",BH370,0)</f>
        <v>0</v>
      </c>
      <c r="AE370" s="33" t="n">
        <f aca="false">IF(AQ370="7",BI370,0)</f>
        <v>0</v>
      </c>
      <c r="AF370" s="33" t="n">
        <f aca="false">IF(AQ370="2",BH370,0)</f>
        <v>0</v>
      </c>
      <c r="AG370" s="33" t="n">
        <f aca="false">IF(AQ370="2",BI370,0)</f>
        <v>0</v>
      </c>
      <c r="AH370" s="33" t="n">
        <f aca="false">IF(AQ370="0",BJ370,0)</f>
        <v>0</v>
      </c>
      <c r="AI370" s="18"/>
      <c r="AJ370" s="33" t="n">
        <f aca="false">IF(AN370=0,J370,0)</f>
        <v>0</v>
      </c>
      <c r="AK370" s="33" t="n">
        <f aca="false">IF(AN370=12,J370,0)</f>
        <v>0</v>
      </c>
      <c r="AL370" s="33" t="n">
        <f aca="false">IF(AN370=21,J370,0)</f>
        <v>0</v>
      </c>
      <c r="AN370" s="33" t="n">
        <v>12</v>
      </c>
      <c r="AO370" s="33" t="n">
        <f aca="false">G370*0.04532183</f>
        <v>0</v>
      </c>
      <c r="AP370" s="33" t="n">
        <f aca="false">G370*(1-0.04532183)</f>
        <v>0</v>
      </c>
      <c r="AQ370" s="35" t="s">
        <v>80</v>
      </c>
      <c r="AV370" s="33" t="n">
        <f aca="false">AW370+AX370</f>
        <v>0</v>
      </c>
      <c r="AW370" s="33" t="n">
        <f aca="false">F370*AO370</f>
        <v>0</v>
      </c>
      <c r="AX370" s="33" t="n">
        <f aca="false">F370*AP370</f>
        <v>0</v>
      </c>
      <c r="AY370" s="35" t="s">
        <v>700</v>
      </c>
      <c r="AZ370" s="35" t="s">
        <v>371</v>
      </c>
      <c r="BA370" s="18" t="s">
        <v>57</v>
      </c>
      <c r="BC370" s="33" t="n">
        <f aca="false">AW370+AX370</f>
        <v>0</v>
      </c>
      <c r="BD370" s="33" t="n">
        <f aca="false">G370/(100-BE370)*100</f>
        <v>0</v>
      </c>
      <c r="BE370" s="33" t="n">
        <v>0</v>
      </c>
      <c r="BF370" s="33" t="n">
        <f aca="false">371</f>
        <v>371</v>
      </c>
      <c r="BH370" s="33" t="n">
        <f aca="false">F370*AO370</f>
        <v>0</v>
      </c>
      <c r="BI370" s="33" t="n">
        <f aca="false">F370*AP370</f>
        <v>0</v>
      </c>
      <c r="BJ370" s="33" t="n">
        <f aca="false">F370*G370</f>
        <v>0</v>
      </c>
      <c r="BK370" s="33"/>
      <c r="BL370" s="33" t="n">
        <v>767</v>
      </c>
      <c r="BW370" s="33" t="n">
        <v>12</v>
      </c>
      <c r="BX370" s="9" t="s">
        <v>735</v>
      </c>
    </row>
    <row r="371" customFormat="false" ht="15" hidden="false" customHeight="false" outlineLevel="0" collapsed="false">
      <c r="A371" s="36"/>
      <c r="C371" s="37" t="s">
        <v>731</v>
      </c>
      <c r="D371" s="37" t="s">
        <v>622</v>
      </c>
      <c r="F371" s="38" t="n">
        <v>24</v>
      </c>
      <c r="K371" s="39"/>
    </row>
    <row r="372" customFormat="false" ht="15" hidden="false" customHeight="true" outlineLevel="0" collapsed="false">
      <c r="A372" s="32" t="s">
        <v>736</v>
      </c>
      <c r="B372" s="10" t="s">
        <v>737</v>
      </c>
      <c r="C372" s="9" t="s">
        <v>738</v>
      </c>
      <c r="D372" s="9"/>
      <c r="E372" s="10" t="s">
        <v>54</v>
      </c>
      <c r="F372" s="33" t="n">
        <v>24</v>
      </c>
      <c r="G372" s="33" t="n">
        <v>0</v>
      </c>
      <c r="H372" s="33" t="n">
        <f aca="false">F372*AO372</f>
        <v>0</v>
      </c>
      <c r="I372" s="33" t="n">
        <f aca="false">F372*AP372</f>
        <v>0</v>
      </c>
      <c r="J372" s="33" t="n">
        <f aca="false">F372*G372</f>
        <v>0</v>
      </c>
      <c r="K372" s="34" t="s">
        <v>55</v>
      </c>
      <c r="Z372" s="33" t="n">
        <f aca="false">IF(AQ372="5",BJ372,0)</f>
        <v>0</v>
      </c>
      <c r="AB372" s="33" t="n">
        <f aca="false">IF(AQ372="1",BH372,0)</f>
        <v>0</v>
      </c>
      <c r="AC372" s="33" t="n">
        <f aca="false">IF(AQ372="1",BI372,0)</f>
        <v>0</v>
      </c>
      <c r="AD372" s="33" t="n">
        <f aca="false">IF(AQ372="7",BH372,0)</f>
        <v>0</v>
      </c>
      <c r="AE372" s="33" t="n">
        <f aca="false">IF(AQ372="7",BI372,0)</f>
        <v>0</v>
      </c>
      <c r="AF372" s="33" t="n">
        <f aca="false">IF(AQ372="2",BH372,0)</f>
        <v>0</v>
      </c>
      <c r="AG372" s="33" t="n">
        <f aca="false">IF(AQ372="2",BI372,0)</f>
        <v>0</v>
      </c>
      <c r="AH372" s="33" t="n">
        <f aca="false">IF(AQ372="0",BJ372,0)</f>
        <v>0</v>
      </c>
      <c r="AI372" s="18"/>
      <c r="AJ372" s="33" t="n">
        <f aca="false">IF(AN372=0,J372,0)</f>
        <v>0</v>
      </c>
      <c r="AK372" s="33" t="n">
        <f aca="false">IF(AN372=12,J372,0)</f>
        <v>0</v>
      </c>
      <c r="AL372" s="33" t="n">
        <f aca="false">IF(AN372=21,J372,0)</f>
        <v>0</v>
      </c>
      <c r="AN372" s="33" t="n">
        <v>12</v>
      </c>
      <c r="AO372" s="33" t="n">
        <f aca="false">G372*0.038432332</f>
        <v>0</v>
      </c>
      <c r="AP372" s="33" t="n">
        <f aca="false">G372*(1-0.038432332)</f>
        <v>0</v>
      </c>
      <c r="AQ372" s="35" t="s">
        <v>80</v>
      </c>
      <c r="AV372" s="33" t="n">
        <f aca="false">AW372+AX372</f>
        <v>0</v>
      </c>
      <c r="AW372" s="33" t="n">
        <f aca="false">F372*AO372</f>
        <v>0</v>
      </c>
      <c r="AX372" s="33" t="n">
        <f aca="false">F372*AP372</f>
        <v>0</v>
      </c>
      <c r="AY372" s="35" t="s">
        <v>700</v>
      </c>
      <c r="AZ372" s="35" t="s">
        <v>371</v>
      </c>
      <c r="BA372" s="18" t="s">
        <v>57</v>
      </c>
      <c r="BC372" s="33" t="n">
        <f aca="false">AW372+AX372</f>
        <v>0</v>
      </c>
      <c r="BD372" s="33" t="n">
        <f aca="false">G372/(100-BE372)*100</f>
        <v>0</v>
      </c>
      <c r="BE372" s="33" t="n">
        <v>0</v>
      </c>
      <c r="BF372" s="33" t="n">
        <f aca="false">373</f>
        <v>373</v>
      </c>
      <c r="BH372" s="33" t="n">
        <f aca="false">F372*AO372</f>
        <v>0</v>
      </c>
      <c r="BI372" s="33" t="n">
        <f aca="false">F372*AP372</f>
        <v>0</v>
      </c>
      <c r="BJ372" s="33" t="n">
        <f aca="false">F372*G372</f>
        <v>0</v>
      </c>
      <c r="BK372" s="33"/>
      <c r="BL372" s="33" t="n">
        <v>767</v>
      </c>
      <c r="BW372" s="33" t="n">
        <v>12</v>
      </c>
      <c r="BX372" s="9" t="s">
        <v>738</v>
      </c>
    </row>
    <row r="373" customFormat="false" ht="15" hidden="false" customHeight="false" outlineLevel="0" collapsed="false">
      <c r="A373" s="36"/>
      <c r="C373" s="37" t="s">
        <v>731</v>
      </c>
      <c r="D373" s="37" t="s">
        <v>732</v>
      </c>
      <c r="F373" s="38" t="n">
        <v>24</v>
      </c>
      <c r="K373" s="39"/>
    </row>
    <row r="374" customFormat="false" ht="15" hidden="false" customHeight="true" outlineLevel="0" collapsed="false">
      <c r="A374" s="32" t="s">
        <v>739</v>
      </c>
      <c r="B374" s="10" t="s">
        <v>740</v>
      </c>
      <c r="C374" s="9" t="s">
        <v>741</v>
      </c>
      <c r="D374" s="9"/>
      <c r="E374" s="10" t="s">
        <v>54</v>
      </c>
      <c r="F374" s="33" t="n">
        <v>24</v>
      </c>
      <c r="G374" s="33" t="n">
        <v>0</v>
      </c>
      <c r="H374" s="33" t="n">
        <f aca="false">F374*AO374</f>
        <v>0</v>
      </c>
      <c r="I374" s="33" t="n">
        <f aca="false">F374*AP374</f>
        <v>0</v>
      </c>
      <c r="J374" s="33" t="n">
        <f aca="false">F374*G374</f>
        <v>0</v>
      </c>
      <c r="K374" s="34" t="s">
        <v>55</v>
      </c>
      <c r="Z374" s="33" t="n">
        <f aca="false">IF(AQ374="5",BJ374,0)</f>
        <v>0</v>
      </c>
      <c r="AB374" s="33" t="n">
        <f aca="false">IF(AQ374="1",BH374,0)</f>
        <v>0</v>
      </c>
      <c r="AC374" s="33" t="n">
        <f aca="false">IF(AQ374="1",BI374,0)</f>
        <v>0</v>
      </c>
      <c r="AD374" s="33" t="n">
        <f aca="false">IF(AQ374="7",BH374,0)</f>
        <v>0</v>
      </c>
      <c r="AE374" s="33" t="n">
        <f aca="false">IF(AQ374="7",BI374,0)</f>
        <v>0</v>
      </c>
      <c r="AF374" s="33" t="n">
        <f aca="false">IF(AQ374="2",BH374,0)</f>
        <v>0</v>
      </c>
      <c r="AG374" s="33" t="n">
        <f aca="false">IF(AQ374="2",BI374,0)</f>
        <v>0</v>
      </c>
      <c r="AH374" s="33" t="n">
        <f aca="false">IF(AQ374="0",BJ374,0)</f>
        <v>0</v>
      </c>
      <c r="AI374" s="18"/>
      <c r="AJ374" s="33" t="n">
        <f aca="false">IF(AN374=0,J374,0)</f>
        <v>0</v>
      </c>
      <c r="AK374" s="33" t="n">
        <f aca="false">IF(AN374=12,J374,0)</f>
        <v>0</v>
      </c>
      <c r="AL374" s="33" t="n">
        <f aca="false">IF(AN374=21,J374,0)</f>
        <v>0</v>
      </c>
      <c r="AN374" s="33" t="n">
        <v>12</v>
      </c>
      <c r="AO374" s="33" t="n">
        <f aca="false">G374*0</f>
        <v>0</v>
      </c>
      <c r="AP374" s="33" t="n">
        <f aca="false">G374*(1-0)</f>
        <v>0</v>
      </c>
      <c r="AQ374" s="35" t="s">
        <v>80</v>
      </c>
      <c r="AV374" s="33" t="n">
        <f aca="false">AW374+AX374</f>
        <v>0</v>
      </c>
      <c r="AW374" s="33" t="n">
        <f aca="false">F374*AO374</f>
        <v>0</v>
      </c>
      <c r="AX374" s="33" t="n">
        <f aca="false">F374*AP374</f>
        <v>0</v>
      </c>
      <c r="AY374" s="35" t="s">
        <v>700</v>
      </c>
      <c r="AZ374" s="35" t="s">
        <v>371</v>
      </c>
      <c r="BA374" s="18" t="s">
        <v>57</v>
      </c>
      <c r="BC374" s="33" t="n">
        <f aca="false">AW374+AX374</f>
        <v>0</v>
      </c>
      <c r="BD374" s="33" t="n">
        <f aca="false">G374/(100-BE374)*100</f>
        <v>0</v>
      </c>
      <c r="BE374" s="33" t="n">
        <v>0</v>
      </c>
      <c r="BF374" s="33" t="n">
        <f aca="false">375</f>
        <v>375</v>
      </c>
      <c r="BH374" s="33" t="n">
        <f aca="false">F374*AO374</f>
        <v>0</v>
      </c>
      <c r="BI374" s="33" t="n">
        <f aca="false">F374*AP374</f>
        <v>0</v>
      </c>
      <c r="BJ374" s="33" t="n">
        <f aca="false">F374*G374</f>
        <v>0</v>
      </c>
      <c r="BK374" s="33"/>
      <c r="BL374" s="33" t="n">
        <v>767</v>
      </c>
      <c r="BW374" s="33" t="n">
        <v>12</v>
      </c>
      <c r="BX374" s="9" t="s">
        <v>741</v>
      </c>
    </row>
    <row r="375" customFormat="false" ht="15" hidden="false" customHeight="false" outlineLevel="0" collapsed="false">
      <c r="A375" s="36"/>
      <c r="C375" s="37" t="s">
        <v>731</v>
      </c>
      <c r="D375" s="37" t="s">
        <v>622</v>
      </c>
      <c r="F375" s="38" t="n">
        <v>24</v>
      </c>
      <c r="K375" s="39"/>
    </row>
    <row r="376" customFormat="false" ht="15" hidden="false" customHeight="true" outlineLevel="0" collapsed="false">
      <c r="A376" s="32" t="s">
        <v>742</v>
      </c>
      <c r="B376" s="10" t="s">
        <v>743</v>
      </c>
      <c r="C376" s="9" t="s">
        <v>744</v>
      </c>
      <c r="D376" s="9"/>
      <c r="E376" s="10" t="s">
        <v>163</v>
      </c>
      <c r="F376" s="33" t="n">
        <v>140</v>
      </c>
      <c r="G376" s="33" t="n">
        <v>0</v>
      </c>
      <c r="H376" s="33" t="n">
        <f aca="false">F376*AO376</f>
        <v>0</v>
      </c>
      <c r="I376" s="33" t="n">
        <f aca="false">F376*AP376</f>
        <v>0</v>
      </c>
      <c r="J376" s="33" t="n">
        <f aca="false">F376*G376</f>
        <v>0</v>
      </c>
      <c r="K376" s="34" t="s">
        <v>84</v>
      </c>
      <c r="Z376" s="33" t="n">
        <f aca="false">IF(AQ376="5",BJ376,0)</f>
        <v>0</v>
      </c>
      <c r="AB376" s="33" t="n">
        <f aca="false">IF(AQ376="1",BH376,0)</f>
        <v>0</v>
      </c>
      <c r="AC376" s="33" t="n">
        <f aca="false">IF(AQ376="1",BI376,0)</f>
        <v>0</v>
      </c>
      <c r="AD376" s="33" t="n">
        <f aca="false">IF(AQ376="7",BH376,0)</f>
        <v>0</v>
      </c>
      <c r="AE376" s="33" t="n">
        <f aca="false">IF(AQ376="7",BI376,0)</f>
        <v>0</v>
      </c>
      <c r="AF376" s="33" t="n">
        <f aca="false">IF(AQ376="2",BH376,0)</f>
        <v>0</v>
      </c>
      <c r="AG376" s="33" t="n">
        <f aca="false">IF(AQ376="2",BI376,0)</f>
        <v>0</v>
      </c>
      <c r="AH376" s="33" t="n">
        <f aca="false">IF(AQ376="0",BJ376,0)</f>
        <v>0</v>
      </c>
      <c r="AI376" s="18"/>
      <c r="AJ376" s="33" t="n">
        <f aca="false">IF(AN376=0,J376,0)</f>
        <v>0</v>
      </c>
      <c r="AK376" s="33" t="n">
        <f aca="false">IF(AN376=12,J376,0)</f>
        <v>0</v>
      </c>
      <c r="AL376" s="33" t="n">
        <f aca="false">IF(AN376=21,J376,0)</f>
        <v>0</v>
      </c>
      <c r="AN376" s="33" t="n">
        <v>12</v>
      </c>
      <c r="AO376" s="33" t="n">
        <f aca="false">G376*0</f>
        <v>0</v>
      </c>
      <c r="AP376" s="33" t="n">
        <f aca="false">G376*(1-0)</f>
        <v>0</v>
      </c>
      <c r="AQ376" s="35" t="s">
        <v>80</v>
      </c>
      <c r="AV376" s="33" t="n">
        <f aca="false">AW376+AX376</f>
        <v>0</v>
      </c>
      <c r="AW376" s="33" t="n">
        <f aca="false">F376*AO376</f>
        <v>0</v>
      </c>
      <c r="AX376" s="33" t="n">
        <f aca="false">F376*AP376</f>
        <v>0</v>
      </c>
      <c r="AY376" s="35" t="s">
        <v>700</v>
      </c>
      <c r="AZ376" s="35" t="s">
        <v>371</v>
      </c>
      <c r="BA376" s="18" t="s">
        <v>57</v>
      </c>
      <c r="BC376" s="33" t="n">
        <f aca="false">AW376+AX376</f>
        <v>0</v>
      </c>
      <c r="BD376" s="33" t="n">
        <f aca="false">G376/(100-BE376)*100</f>
        <v>0</v>
      </c>
      <c r="BE376" s="33" t="n">
        <v>0</v>
      </c>
      <c r="BF376" s="33" t="n">
        <f aca="false">377</f>
        <v>377</v>
      </c>
      <c r="BH376" s="33" t="n">
        <f aca="false">F376*AO376</f>
        <v>0</v>
      </c>
      <c r="BI376" s="33" t="n">
        <f aca="false">F376*AP376</f>
        <v>0</v>
      </c>
      <c r="BJ376" s="33" t="n">
        <f aca="false">F376*G376</f>
        <v>0</v>
      </c>
      <c r="BK376" s="33"/>
      <c r="BL376" s="33" t="n">
        <v>767</v>
      </c>
      <c r="BW376" s="33" t="n">
        <v>12</v>
      </c>
      <c r="BX376" s="9" t="s">
        <v>744</v>
      </c>
    </row>
    <row r="377" customFormat="false" ht="15" hidden="false" customHeight="false" outlineLevel="0" collapsed="false">
      <c r="A377" s="36"/>
      <c r="C377" s="37" t="s">
        <v>716</v>
      </c>
      <c r="D377" s="37"/>
      <c r="F377" s="38" t="n">
        <v>140</v>
      </c>
      <c r="K377" s="39"/>
    </row>
    <row r="378" customFormat="false" ht="15" hidden="false" customHeight="true" outlineLevel="0" collapsed="false">
      <c r="A378" s="32" t="s">
        <v>745</v>
      </c>
      <c r="B378" s="10" t="s">
        <v>746</v>
      </c>
      <c r="C378" s="9" t="s">
        <v>747</v>
      </c>
      <c r="D378" s="9"/>
      <c r="E378" s="10" t="s">
        <v>91</v>
      </c>
      <c r="F378" s="33" t="n">
        <v>14</v>
      </c>
      <c r="G378" s="33" t="n">
        <v>0</v>
      </c>
      <c r="H378" s="33" t="n">
        <f aca="false">F378*AO378</f>
        <v>0</v>
      </c>
      <c r="I378" s="33" t="n">
        <f aca="false">F378*AP378</f>
        <v>0</v>
      </c>
      <c r="J378" s="33" t="n">
        <f aca="false">F378*G378</f>
        <v>0</v>
      </c>
      <c r="K378" s="34" t="s">
        <v>84</v>
      </c>
      <c r="Z378" s="33" t="n">
        <f aca="false">IF(AQ378="5",BJ378,0)</f>
        <v>0</v>
      </c>
      <c r="AB378" s="33" t="n">
        <f aca="false">IF(AQ378="1",BH378,0)</f>
        <v>0</v>
      </c>
      <c r="AC378" s="33" t="n">
        <f aca="false">IF(AQ378="1",BI378,0)</f>
        <v>0</v>
      </c>
      <c r="AD378" s="33" t="n">
        <f aca="false">IF(AQ378="7",BH378,0)</f>
        <v>0</v>
      </c>
      <c r="AE378" s="33" t="n">
        <f aca="false">IF(AQ378="7",BI378,0)</f>
        <v>0</v>
      </c>
      <c r="AF378" s="33" t="n">
        <f aca="false">IF(AQ378="2",BH378,0)</f>
        <v>0</v>
      </c>
      <c r="AG378" s="33" t="n">
        <f aca="false">IF(AQ378="2",BI378,0)</f>
        <v>0</v>
      </c>
      <c r="AH378" s="33" t="n">
        <f aca="false">IF(AQ378="0",BJ378,0)</f>
        <v>0</v>
      </c>
      <c r="AI378" s="18"/>
      <c r="AJ378" s="33" t="n">
        <f aca="false">IF(AN378=0,J378,0)</f>
        <v>0</v>
      </c>
      <c r="AK378" s="33" t="n">
        <f aca="false">IF(AN378=12,J378,0)</f>
        <v>0</v>
      </c>
      <c r="AL378" s="33" t="n">
        <f aca="false">IF(AN378=21,J378,0)</f>
        <v>0</v>
      </c>
      <c r="AN378" s="33" t="n">
        <v>12</v>
      </c>
      <c r="AO378" s="33" t="n">
        <f aca="false">G378*0.384326245</f>
        <v>0</v>
      </c>
      <c r="AP378" s="33" t="n">
        <f aca="false">G378*(1-0.384326245)</f>
        <v>0</v>
      </c>
      <c r="AQ378" s="35" t="s">
        <v>80</v>
      </c>
      <c r="AV378" s="33" t="n">
        <f aca="false">AW378+AX378</f>
        <v>0</v>
      </c>
      <c r="AW378" s="33" t="n">
        <f aca="false">F378*AO378</f>
        <v>0</v>
      </c>
      <c r="AX378" s="33" t="n">
        <f aca="false">F378*AP378</f>
        <v>0</v>
      </c>
      <c r="AY378" s="35" t="s">
        <v>700</v>
      </c>
      <c r="AZ378" s="35" t="s">
        <v>371</v>
      </c>
      <c r="BA378" s="18" t="s">
        <v>57</v>
      </c>
      <c r="BC378" s="33" t="n">
        <f aca="false">AW378+AX378</f>
        <v>0</v>
      </c>
      <c r="BD378" s="33" t="n">
        <f aca="false">G378/(100-BE378)*100</f>
        <v>0</v>
      </c>
      <c r="BE378" s="33" t="n">
        <v>0</v>
      </c>
      <c r="BF378" s="33" t="n">
        <f aca="false">379</f>
        <v>379</v>
      </c>
      <c r="BH378" s="33" t="n">
        <f aca="false">F378*AO378</f>
        <v>0</v>
      </c>
      <c r="BI378" s="33" t="n">
        <f aca="false">F378*AP378</f>
        <v>0</v>
      </c>
      <c r="BJ378" s="33" t="n">
        <f aca="false">F378*G378</f>
        <v>0</v>
      </c>
      <c r="BK378" s="33"/>
      <c r="BL378" s="33" t="n">
        <v>767</v>
      </c>
      <c r="BW378" s="33" t="n">
        <v>12</v>
      </c>
      <c r="BX378" s="9" t="s">
        <v>747</v>
      </c>
    </row>
    <row r="379" customFormat="false" ht="15" hidden="false" customHeight="false" outlineLevel="0" collapsed="false">
      <c r="A379" s="36"/>
      <c r="C379" s="37" t="s">
        <v>748</v>
      </c>
      <c r="D379" s="37" t="s">
        <v>749</v>
      </c>
      <c r="F379" s="38" t="n">
        <v>14</v>
      </c>
      <c r="K379" s="39"/>
    </row>
    <row r="380" customFormat="false" ht="15" hidden="false" customHeight="true" outlineLevel="0" collapsed="false">
      <c r="A380" s="32" t="s">
        <v>750</v>
      </c>
      <c r="B380" s="10" t="s">
        <v>751</v>
      </c>
      <c r="C380" s="9" t="s">
        <v>752</v>
      </c>
      <c r="D380" s="9"/>
      <c r="E380" s="10" t="s">
        <v>163</v>
      </c>
      <c r="F380" s="33" t="n">
        <v>1</v>
      </c>
      <c r="G380" s="33" t="n">
        <v>0</v>
      </c>
      <c r="H380" s="33" t="n">
        <f aca="false">F380*AO380</f>
        <v>0</v>
      </c>
      <c r="I380" s="33" t="n">
        <f aca="false">F380*AP380</f>
        <v>0</v>
      </c>
      <c r="J380" s="33" t="n">
        <f aca="false">F380*G380</f>
        <v>0</v>
      </c>
      <c r="K380" s="34" t="s">
        <v>84</v>
      </c>
      <c r="Z380" s="33" t="n">
        <f aca="false">IF(AQ380="5",BJ380,0)</f>
        <v>0</v>
      </c>
      <c r="AB380" s="33" t="n">
        <f aca="false">IF(AQ380="1",BH380,0)</f>
        <v>0</v>
      </c>
      <c r="AC380" s="33" t="n">
        <f aca="false">IF(AQ380="1",BI380,0)</f>
        <v>0</v>
      </c>
      <c r="AD380" s="33" t="n">
        <f aca="false">IF(AQ380="7",BH380,0)</f>
        <v>0</v>
      </c>
      <c r="AE380" s="33" t="n">
        <f aca="false">IF(AQ380="7",BI380,0)</f>
        <v>0</v>
      </c>
      <c r="AF380" s="33" t="n">
        <f aca="false">IF(AQ380="2",BH380,0)</f>
        <v>0</v>
      </c>
      <c r="AG380" s="33" t="n">
        <f aca="false">IF(AQ380="2",BI380,0)</f>
        <v>0</v>
      </c>
      <c r="AH380" s="33" t="n">
        <f aca="false">IF(AQ380="0",BJ380,0)</f>
        <v>0</v>
      </c>
      <c r="AI380" s="18"/>
      <c r="AJ380" s="33" t="n">
        <f aca="false">IF(AN380=0,J380,0)</f>
        <v>0</v>
      </c>
      <c r="AK380" s="33" t="n">
        <f aca="false">IF(AN380=12,J380,0)</f>
        <v>0</v>
      </c>
      <c r="AL380" s="33" t="n">
        <f aca="false">IF(AN380=21,J380,0)</f>
        <v>0</v>
      </c>
      <c r="AN380" s="33" t="n">
        <v>12</v>
      </c>
      <c r="AO380" s="33" t="n">
        <f aca="false">G380*0.964515789</f>
        <v>0</v>
      </c>
      <c r="AP380" s="33" t="n">
        <f aca="false">G380*(1-0.964515789)</f>
        <v>0</v>
      </c>
      <c r="AQ380" s="35" t="s">
        <v>80</v>
      </c>
      <c r="AV380" s="33" t="n">
        <f aca="false">AW380+AX380</f>
        <v>0</v>
      </c>
      <c r="AW380" s="33" t="n">
        <f aca="false">F380*AO380</f>
        <v>0</v>
      </c>
      <c r="AX380" s="33" t="n">
        <f aca="false">F380*AP380</f>
        <v>0</v>
      </c>
      <c r="AY380" s="35" t="s">
        <v>700</v>
      </c>
      <c r="AZ380" s="35" t="s">
        <v>371</v>
      </c>
      <c r="BA380" s="18" t="s">
        <v>57</v>
      </c>
      <c r="BC380" s="33" t="n">
        <f aca="false">AW380+AX380</f>
        <v>0</v>
      </c>
      <c r="BD380" s="33" t="n">
        <f aca="false">G380/(100-BE380)*100</f>
        <v>0</v>
      </c>
      <c r="BE380" s="33" t="n">
        <v>0</v>
      </c>
      <c r="BF380" s="33" t="n">
        <f aca="false">381</f>
        <v>381</v>
      </c>
      <c r="BH380" s="33" t="n">
        <f aca="false">F380*AO380</f>
        <v>0</v>
      </c>
      <c r="BI380" s="33" t="n">
        <f aca="false">F380*AP380</f>
        <v>0</v>
      </c>
      <c r="BJ380" s="33" t="n">
        <f aca="false">F380*G380</f>
        <v>0</v>
      </c>
      <c r="BK380" s="33"/>
      <c r="BL380" s="33" t="n">
        <v>767</v>
      </c>
      <c r="BW380" s="33" t="n">
        <v>12</v>
      </c>
      <c r="BX380" s="9" t="s">
        <v>752</v>
      </c>
    </row>
    <row r="381" customFormat="false" ht="15" hidden="false" customHeight="false" outlineLevel="0" collapsed="false">
      <c r="A381" s="36"/>
      <c r="C381" s="37" t="s">
        <v>51</v>
      </c>
      <c r="D381" s="37"/>
      <c r="F381" s="38" t="n">
        <v>1</v>
      </c>
      <c r="K381" s="39"/>
    </row>
    <row r="382" customFormat="false" ht="15" hidden="false" customHeight="true" outlineLevel="0" collapsed="false">
      <c r="A382" s="32" t="s">
        <v>753</v>
      </c>
      <c r="B382" s="10" t="s">
        <v>754</v>
      </c>
      <c r="C382" s="9" t="s">
        <v>755</v>
      </c>
      <c r="D382" s="9"/>
      <c r="E382" s="10" t="s">
        <v>163</v>
      </c>
      <c r="F382" s="33" t="n">
        <v>1</v>
      </c>
      <c r="G382" s="33" t="n">
        <v>0</v>
      </c>
      <c r="H382" s="33" t="n">
        <f aca="false">F382*AO382</f>
        <v>0</v>
      </c>
      <c r="I382" s="33" t="n">
        <f aca="false">F382*AP382</f>
        <v>0</v>
      </c>
      <c r="J382" s="33" t="n">
        <f aca="false">F382*G382</f>
        <v>0</v>
      </c>
      <c r="K382" s="34" t="s">
        <v>84</v>
      </c>
      <c r="Z382" s="33" t="n">
        <f aca="false">IF(AQ382="5",BJ382,0)</f>
        <v>0</v>
      </c>
      <c r="AB382" s="33" t="n">
        <f aca="false">IF(AQ382="1",BH382,0)</f>
        <v>0</v>
      </c>
      <c r="AC382" s="33" t="n">
        <f aca="false">IF(AQ382="1",BI382,0)</f>
        <v>0</v>
      </c>
      <c r="AD382" s="33" t="n">
        <f aca="false">IF(AQ382="7",BH382,0)</f>
        <v>0</v>
      </c>
      <c r="AE382" s="33" t="n">
        <f aca="false">IF(AQ382="7",BI382,0)</f>
        <v>0</v>
      </c>
      <c r="AF382" s="33" t="n">
        <f aca="false">IF(AQ382="2",BH382,0)</f>
        <v>0</v>
      </c>
      <c r="AG382" s="33" t="n">
        <f aca="false">IF(AQ382="2",BI382,0)</f>
        <v>0</v>
      </c>
      <c r="AH382" s="33" t="n">
        <f aca="false">IF(AQ382="0",BJ382,0)</f>
        <v>0</v>
      </c>
      <c r="AI382" s="18"/>
      <c r="AJ382" s="33" t="n">
        <f aca="false">IF(AN382=0,J382,0)</f>
        <v>0</v>
      </c>
      <c r="AK382" s="33" t="n">
        <f aca="false">IF(AN382=12,J382,0)</f>
        <v>0</v>
      </c>
      <c r="AL382" s="33" t="n">
        <f aca="false">IF(AN382=21,J382,0)</f>
        <v>0</v>
      </c>
      <c r="AN382" s="33" t="n">
        <v>12</v>
      </c>
      <c r="AO382" s="33" t="n">
        <f aca="false">G382*0.986684132</f>
        <v>0</v>
      </c>
      <c r="AP382" s="33" t="n">
        <f aca="false">G382*(1-0.986684132)</f>
        <v>0</v>
      </c>
      <c r="AQ382" s="35" t="s">
        <v>80</v>
      </c>
      <c r="AV382" s="33" t="n">
        <f aca="false">AW382+AX382</f>
        <v>0</v>
      </c>
      <c r="AW382" s="33" t="n">
        <f aca="false">F382*AO382</f>
        <v>0</v>
      </c>
      <c r="AX382" s="33" t="n">
        <f aca="false">F382*AP382</f>
        <v>0</v>
      </c>
      <c r="AY382" s="35" t="s">
        <v>700</v>
      </c>
      <c r="AZ382" s="35" t="s">
        <v>371</v>
      </c>
      <c r="BA382" s="18" t="s">
        <v>57</v>
      </c>
      <c r="BC382" s="33" t="n">
        <f aca="false">AW382+AX382</f>
        <v>0</v>
      </c>
      <c r="BD382" s="33" t="n">
        <f aca="false">G382/(100-BE382)*100</f>
        <v>0</v>
      </c>
      <c r="BE382" s="33" t="n">
        <v>0</v>
      </c>
      <c r="BF382" s="33" t="n">
        <f aca="false">383</f>
        <v>383</v>
      </c>
      <c r="BH382" s="33" t="n">
        <f aca="false">F382*AO382</f>
        <v>0</v>
      </c>
      <c r="BI382" s="33" t="n">
        <f aca="false">F382*AP382</f>
        <v>0</v>
      </c>
      <c r="BJ382" s="33" t="n">
        <f aca="false">F382*G382</f>
        <v>0</v>
      </c>
      <c r="BK382" s="33"/>
      <c r="BL382" s="33" t="n">
        <v>767</v>
      </c>
      <c r="BW382" s="33" t="n">
        <v>12</v>
      </c>
      <c r="BX382" s="9" t="s">
        <v>755</v>
      </c>
    </row>
    <row r="383" customFormat="false" ht="15" hidden="false" customHeight="false" outlineLevel="0" collapsed="false">
      <c r="A383" s="36"/>
      <c r="C383" s="37" t="s">
        <v>51</v>
      </c>
      <c r="D383" s="37"/>
      <c r="F383" s="38" t="n">
        <v>1</v>
      </c>
      <c r="K383" s="39"/>
    </row>
    <row r="384" customFormat="false" ht="15" hidden="false" customHeight="true" outlineLevel="0" collapsed="false">
      <c r="A384" s="32" t="s">
        <v>756</v>
      </c>
      <c r="B384" s="10" t="s">
        <v>757</v>
      </c>
      <c r="C384" s="9" t="s">
        <v>758</v>
      </c>
      <c r="D384" s="9"/>
      <c r="E384" s="10" t="s">
        <v>163</v>
      </c>
      <c r="F384" s="33" t="n">
        <v>1</v>
      </c>
      <c r="G384" s="33" t="n">
        <v>0</v>
      </c>
      <c r="H384" s="33" t="n">
        <f aca="false">F384*AO384</f>
        <v>0</v>
      </c>
      <c r="I384" s="33" t="n">
        <f aca="false">F384*AP384</f>
        <v>0</v>
      </c>
      <c r="J384" s="33" t="n">
        <f aca="false">F384*G384</f>
        <v>0</v>
      </c>
      <c r="K384" s="34" t="s">
        <v>84</v>
      </c>
      <c r="Z384" s="33" t="n">
        <f aca="false">IF(AQ384="5",BJ384,0)</f>
        <v>0</v>
      </c>
      <c r="AB384" s="33" t="n">
        <f aca="false">IF(AQ384="1",BH384,0)</f>
        <v>0</v>
      </c>
      <c r="AC384" s="33" t="n">
        <f aca="false">IF(AQ384="1",BI384,0)</f>
        <v>0</v>
      </c>
      <c r="AD384" s="33" t="n">
        <f aca="false">IF(AQ384="7",BH384,0)</f>
        <v>0</v>
      </c>
      <c r="AE384" s="33" t="n">
        <f aca="false">IF(AQ384="7",BI384,0)</f>
        <v>0</v>
      </c>
      <c r="AF384" s="33" t="n">
        <f aca="false">IF(AQ384="2",BH384,0)</f>
        <v>0</v>
      </c>
      <c r="AG384" s="33" t="n">
        <f aca="false">IF(AQ384="2",BI384,0)</f>
        <v>0</v>
      </c>
      <c r="AH384" s="33" t="n">
        <f aca="false">IF(AQ384="0",BJ384,0)</f>
        <v>0</v>
      </c>
      <c r="AI384" s="18"/>
      <c r="AJ384" s="33" t="n">
        <f aca="false">IF(AN384=0,J384,0)</f>
        <v>0</v>
      </c>
      <c r="AK384" s="33" t="n">
        <f aca="false">IF(AN384=12,J384,0)</f>
        <v>0</v>
      </c>
      <c r="AL384" s="33" t="n">
        <f aca="false">IF(AN384=21,J384,0)</f>
        <v>0</v>
      </c>
      <c r="AN384" s="33" t="n">
        <v>12</v>
      </c>
      <c r="AO384" s="33" t="n">
        <f aca="false">G384*0.077563636</f>
        <v>0</v>
      </c>
      <c r="AP384" s="33" t="n">
        <f aca="false">G384*(1-0.077563636)</f>
        <v>0</v>
      </c>
      <c r="AQ384" s="35" t="s">
        <v>80</v>
      </c>
      <c r="AV384" s="33" t="n">
        <f aca="false">AW384+AX384</f>
        <v>0</v>
      </c>
      <c r="AW384" s="33" t="n">
        <f aca="false">F384*AO384</f>
        <v>0</v>
      </c>
      <c r="AX384" s="33" t="n">
        <f aca="false">F384*AP384</f>
        <v>0</v>
      </c>
      <c r="AY384" s="35" t="s">
        <v>700</v>
      </c>
      <c r="AZ384" s="35" t="s">
        <v>371</v>
      </c>
      <c r="BA384" s="18" t="s">
        <v>57</v>
      </c>
      <c r="BC384" s="33" t="n">
        <f aca="false">AW384+AX384</f>
        <v>0</v>
      </c>
      <c r="BD384" s="33" t="n">
        <f aca="false">G384/(100-BE384)*100</f>
        <v>0</v>
      </c>
      <c r="BE384" s="33" t="n">
        <v>0</v>
      </c>
      <c r="BF384" s="33" t="n">
        <f aca="false">385</f>
        <v>385</v>
      </c>
      <c r="BH384" s="33" t="n">
        <f aca="false">F384*AO384</f>
        <v>0</v>
      </c>
      <c r="BI384" s="33" t="n">
        <f aca="false">F384*AP384</f>
        <v>0</v>
      </c>
      <c r="BJ384" s="33" t="n">
        <f aca="false">F384*G384</f>
        <v>0</v>
      </c>
      <c r="BK384" s="33"/>
      <c r="BL384" s="33" t="n">
        <v>767</v>
      </c>
      <c r="BW384" s="33" t="n">
        <v>12</v>
      </c>
      <c r="BX384" s="9" t="s">
        <v>758</v>
      </c>
    </row>
    <row r="385" customFormat="false" ht="35.05" hidden="false" customHeight="false" outlineLevel="0" collapsed="false">
      <c r="A385" s="36"/>
      <c r="C385" s="37" t="s">
        <v>51</v>
      </c>
      <c r="D385" s="40" t="s">
        <v>759</v>
      </c>
      <c r="F385" s="38" t="n">
        <v>1</v>
      </c>
      <c r="K385" s="39"/>
    </row>
    <row r="386" customFormat="false" ht="15" hidden="false" customHeight="true" outlineLevel="0" collapsed="false">
      <c r="A386" s="32" t="s">
        <v>760</v>
      </c>
      <c r="B386" s="10" t="s">
        <v>761</v>
      </c>
      <c r="C386" s="9" t="s">
        <v>762</v>
      </c>
      <c r="D386" s="9"/>
      <c r="E386" s="10" t="s">
        <v>172</v>
      </c>
      <c r="F386" s="33" t="n">
        <v>10.84</v>
      </c>
      <c r="G386" s="33" t="n">
        <v>0</v>
      </c>
      <c r="H386" s="33" t="n">
        <f aca="false">F386*AO386</f>
        <v>0</v>
      </c>
      <c r="I386" s="33" t="n">
        <f aca="false">F386*AP386</f>
        <v>0</v>
      </c>
      <c r="J386" s="33" t="n">
        <f aca="false">F386*G386</f>
        <v>0</v>
      </c>
      <c r="K386" s="34" t="s">
        <v>55</v>
      </c>
      <c r="Z386" s="33" t="n">
        <f aca="false">IF(AQ386="5",BJ386,0)</f>
        <v>0</v>
      </c>
      <c r="AB386" s="33" t="n">
        <f aca="false">IF(AQ386="1",BH386,0)</f>
        <v>0</v>
      </c>
      <c r="AC386" s="33" t="n">
        <f aca="false">IF(AQ386="1",BI386,0)</f>
        <v>0</v>
      </c>
      <c r="AD386" s="33" t="n">
        <f aca="false">IF(AQ386="7",BH386,0)</f>
        <v>0</v>
      </c>
      <c r="AE386" s="33" t="n">
        <f aca="false">IF(AQ386="7",BI386,0)</f>
        <v>0</v>
      </c>
      <c r="AF386" s="33" t="n">
        <f aca="false">IF(AQ386="2",BH386,0)</f>
        <v>0</v>
      </c>
      <c r="AG386" s="33" t="n">
        <f aca="false">IF(AQ386="2",BI386,0)</f>
        <v>0</v>
      </c>
      <c r="AH386" s="33" t="n">
        <f aca="false">IF(AQ386="0",BJ386,0)</f>
        <v>0</v>
      </c>
      <c r="AI386" s="18"/>
      <c r="AJ386" s="33" t="n">
        <f aca="false">IF(AN386=0,J386,0)</f>
        <v>0</v>
      </c>
      <c r="AK386" s="33" t="n">
        <f aca="false">IF(AN386=12,J386,0)</f>
        <v>0</v>
      </c>
      <c r="AL386" s="33" t="n">
        <f aca="false">IF(AN386=21,J386,0)</f>
        <v>0</v>
      </c>
      <c r="AN386" s="33" t="n">
        <v>12</v>
      </c>
      <c r="AO386" s="33" t="n">
        <f aca="false">G386*0</f>
        <v>0</v>
      </c>
      <c r="AP386" s="33" t="n">
        <f aca="false">G386*(1-0)</f>
        <v>0</v>
      </c>
      <c r="AQ386" s="35" t="s">
        <v>68</v>
      </c>
      <c r="AV386" s="33" t="n">
        <f aca="false">AW386+AX386</f>
        <v>0</v>
      </c>
      <c r="AW386" s="33" t="n">
        <f aca="false">F386*AO386</f>
        <v>0</v>
      </c>
      <c r="AX386" s="33" t="n">
        <f aca="false">F386*AP386</f>
        <v>0</v>
      </c>
      <c r="AY386" s="35" t="s">
        <v>700</v>
      </c>
      <c r="AZ386" s="35" t="s">
        <v>371</v>
      </c>
      <c r="BA386" s="18" t="s">
        <v>57</v>
      </c>
      <c r="BC386" s="33" t="n">
        <f aca="false">AW386+AX386</f>
        <v>0</v>
      </c>
      <c r="BD386" s="33" t="n">
        <f aca="false">G386/(100-BE386)*100</f>
        <v>0</v>
      </c>
      <c r="BE386" s="33" t="n">
        <v>0</v>
      </c>
      <c r="BF386" s="33" t="n">
        <f aca="false">389</f>
        <v>389</v>
      </c>
      <c r="BH386" s="33" t="n">
        <f aca="false">F386*AO386</f>
        <v>0</v>
      </c>
      <c r="BI386" s="33" t="n">
        <f aca="false">F386*AP386</f>
        <v>0</v>
      </c>
      <c r="BJ386" s="33" t="n">
        <f aca="false">F386*G386</f>
        <v>0</v>
      </c>
      <c r="BK386" s="33"/>
      <c r="BL386" s="33" t="n">
        <v>767</v>
      </c>
      <c r="BW386" s="33" t="n">
        <v>12</v>
      </c>
      <c r="BX386" s="9" t="s">
        <v>762</v>
      </c>
    </row>
    <row r="387" customFormat="false" ht="15" hidden="false" customHeight="false" outlineLevel="0" collapsed="false">
      <c r="A387" s="36"/>
      <c r="C387" s="37" t="s">
        <v>763</v>
      </c>
      <c r="D387" s="37"/>
      <c r="F387" s="38" t="n">
        <v>10.84</v>
      </c>
      <c r="K387" s="39"/>
    </row>
    <row r="388" customFormat="false" ht="15" hidden="false" customHeight="true" outlineLevel="0" collapsed="false">
      <c r="A388" s="27"/>
      <c r="B388" s="28" t="s">
        <v>764</v>
      </c>
      <c r="C388" s="29" t="s">
        <v>765</v>
      </c>
      <c r="D388" s="29"/>
      <c r="E388" s="30" t="s">
        <v>4</v>
      </c>
      <c r="F388" s="30" t="s">
        <v>4</v>
      </c>
      <c r="G388" s="30" t="s">
        <v>4</v>
      </c>
      <c r="H388" s="2" t="n">
        <f aca="false">SUM(H389:H406)</f>
        <v>0</v>
      </c>
      <c r="I388" s="2" t="n">
        <f aca="false">SUM(I389:I406)</f>
        <v>0</v>
      </c>
      <c r="J388" s="2" t="n">
        <f aca="false">SUM(J389:J406)</f>
        <v>0</v>
      </c>
      <c r="K388" s="31"/>
      <c r="AI388" s="18"/>
      <c r="AS388" s="2" t="n">
        <f aca="false">SUM(AJ389:AJ406)</f>
        <v>0</v>
      </c>
      <c r="AT388" s="2" t="n">
        <f aca="false">SUM(AK389:AK406)</f>
        <v>0</v>
      </c>
      <c r="AU388" s="2" t="n">
        <f aca="false">SUM(AL389:AL406)</f>
        <v>0</v>
      </c>
    </row>
    <row r="389" customFormat="false" ht="15" hidden="false" customHeight="true" outlineLevel="0" collapsed="false">
      <c r="A389" s="32" t="s">
        <v>766</v>
      </c>
      <c r="B389" s="10" t="s">
        <v>767</v>
      </c>
      <c r="C389" s="9" t="s">
        <v>768</v>
      </c>
      <c r="D389" s="9"/>
      <c r="E389" s="10" t="s">
        <v>83</v>
      </c>
      <c r="F389" s="33" t="n">
        <v>201.59928</v>
      </c>
      <c r="G389" s="33" t="n">
        <v>0</v>
      </c>
      <c r="H389" s="33" t="n">
        <f aca="false">F389*AO389</f>
        <v>0</v>
      </c>
      <c r="I389" s="33" t="n">
        <f aca="false">F389*AP389</f>
        <v>0</v>
      </c>
      <c r="J389" s="33" t="n">
        <f aca="false">F389*G389</f>
        <v>0</v>
      </c>
      <c r="K389" s="34" t="s">
        <v>55</v>
      </c>
      <c r="Z389" s="33" t="n">
        <f aca="false">IF(AQ389="5",BJ389,0)</f>
        <v>0</v>
      </c>
      <c r="AB389" s="33" t="n">
        <f aca="false">IF(AQ389="1",BH389,0)</f>
        <v>0</v>
      </c>
      <c r="AC389" s="33" t="n">
        <f aca="false">IF(AQ389="1",BI389,0)</f>
        <v>0</v>
      </c>
      <c r="AD389" s="33" t="n">
        <f aca="false">IF(AQ389="7",BH389,0)</f>
        <v>0</v>
      </c>
      <c r="AE389" s="33" t="n">
        <f aca="false">IF(AQ389="7",BI389,0)</f>
        <v>0</v>
      </c>
      <c r="AF389" s="33" t="n">
        <f aca="false">IF(AQ389="2",BH389,0)</f>
        <v>0</v>
      </c>
      <c r="AG389" s="33" t="n">
        <f aca="false">IF(AQ389="2",BI389,0)</f>
        <v>0</v>
      </c>
      <c r="AH389" s="33" t="n">
        <f aca="false">IF(AQ389="0",BJ389,0)</f>
        <v>0</v>
      </c>
      <c r="AI389" s="18"/>
      <c r="AJ389" s="33" t="n">
        <f aca="false">IF(AN389=0,J389,0)</f>
        <v>0</v>
      </c>
      <c r="AK389" s="33" t="n">
        <f aca="false">IF(AN389=12,J389,0)</f>
        <v>0</v>
      </c>
      <c r="AL389" s="33" t="n">
        <f aca="false">IF(AN389=21,J389,0)</f>
        <v>0</v>
      </c>
      <c r="AN389" s="33" t="n">
        <v>12</v>
      </c>
      <c r="AO389" s="33" t="n">
        <f aca="false">G389*0.163979761</f>
        <v>0</v>
      </c>
      <c r="AP389" s="33" t="n">
        <f aca="false">G389*(1-0.163979761)</f>
        <v>0</v>
      </c>
      <c r="AQ389" s="35" t="s">
        <v>80</v>
      </c>
      <c r="AV389" s="33" t="n">
        <f aca="false">AW389+AX389</f>
        <v>0</v>
      </c>
      <c r="AW389" s="33" t="n">
        <f aca="false">F389*AO389</f>
        <v>0</v>
      </c>
      <c r="AX389" s="33" t="n">
        <f aca="false">F389*AP389</f>
        <v>0</v>
      </c>
      <c r="AY389" s="35" t="s">
        <v>769</v>
      </c>
      <c r="AZ389" s="35" t="s">
        <v>770</v>
      </c>
      <c r="BA389" s="18" t="s">
        <v>57</v>
      </c>
      <c r="BC389" s="33" t="n">
        <f aca="false">AW389+AX389</f>
        <v>0</v>
      </c>
      <c r="BD389" s="33" t="n">
        <f aca="false">G389/(100-BE389)*100</f>
        <v>0</v>
      </c>
      <c r="BE389" s="33" t="n">
        <v>0</v>
      </c>
      <c r="BF389" s="33" t="n">
        <f aca="false">392</f>
        <v>392</v>
      </c>
      <c r="BH389" s="33" t="n">
        <f aca="false">F389*AO389</f>
        <v>0</v>
      </c>
      <c r="BI389" s="33" t="n">
        <f aca="false">F389*AP389</f>
        <v>0</v>
      </c>
      <c r="BJ389" s="33" t="n">
        <f aca="false">F389*G389</f>
        <v>0</v>
      </c>
      <c r="BK389" s="33"/>
      <c r="BL389" s="33" t="n">
        <v>771</v>
      </c>
      <c r="BW389" s="33" t="n">
        <v>12</v>
      </c>
      <c r="BX389" s="9" t="s">
        <v>768</v>
      </c>
    </row>
    <row r="390" customFormat="false" ht="15" hidden="false" customHeight="false" outlineLevel="0" collapsed="false">
      <c r="A390" s="36"/>
      <c r="C390" s="37" t="s">
        <v>771</v>
      </c>
      <c r="D390" s="37" t="s">
        <v>772</v>
      </c>
      <c r="F390" s="38" t="n">
        <v>111.6</v>
      </c>
      <c r="K390" s="39"/>
    </row>
    <row r="391" customFormat="false" ht="15" hidden="false" customHeight="false" outlineLevel="0" collapsed="false">
      <c r="A391" s="36"/>
      <c r="C391" s="37" t="s">
        <v>773</v>
      </c>
      <c r="D391" s="37"/>
      <c r="F391" s="38" t="n">
        <v>75.888</v>
      </c>
      <c r="K391" s="39"/>
    </row>
    <row r="392" customFormat="false" ht="15" hidden="false" customHeight="false" outlineLevel="0" collapsed="false">
      <c r="A392" s="36"/>
      <c r="C392" s="37" t="s">
        <v>774</v>
      </c>
      <c r="D392" s="37" t="s">
        <v>775</v>
      </c>
      <c r="F392" s="38" t="n">
        <v>2.7</v>
      </c>
      <c r="K392" s="39"/>
    </row>
    <row r="393" customFormat="false" ht="15" hidden="false" customHeight="false" outlineLevel="0" collapsed="false">
      <c r="A393" s="36"/>
      <c r="C393" s="37" t="s">
        <v>776</v>
      </c>
      <c r="D393" s="37"/>
      <c r="F393" s="38" t="n">
        <v>11.41128</v>
      </c>
      <c r="K393" s="39"/>
    </row>
    <row r="394" customFormat="false" ht="15" hidden="false" customHeight="true" outlineLevel="0" collapsed="false">
      <c r="A394" s="32" t="s">
        <v>777</v>
      </c>
      <c r="B394" s="10" t="s">
        <v>778</v>
      </c>
      <c r="C394" s="9" t="s">
        <v>779</v>
      </c>
      <c r="D394" s="9"/>
      <c r="E394" s="10" t="s">
        <v>91</v>
      </c>
      <c r="F394" s="33" t="n">
        <v>272.74</v>
      </c>
      <c r="G394" s="33" t="n">
        <v>0</v>
      </c>
      <c r="H394" s="33" t="n">
        <f aca="false">F394*AO394</f>
        <v>0</v>
      </c>
      <c r="I394" s="33" t="n">
        <f aca="false">F394*AP394</f>
        <v>0</v>
      </c>
      <c r="J394" s="33" t="n">
        <f aca="false">F394*G394</f>
        <v>0</v>
      </c>
      <c r="K394" s="34" t="s">
        <v>55</v>
      </c>
      <c r="Z394" s="33" t="n">
        <f aca="false">IF(AQ394="5",BJ394,0)</f>
        <v>0</v>
      </c>
      <c r="AB394" s="33" t="n">
        <f aca="false">IF(AQ394="1",BH394,0)</f>
        <v>0</v>
      </c>
      <c r="AC394" s="33" t="n">
        <f aca="false">IF(AQ394="1",BI394,0)</f>
        <v>0</v>
      </c>
      <c r="AD394" s="33" t="n">
        <f aca="false">IF(AQ394="7",BH394,0)</f>
        <v>0</v>
      </c>
      <c r="AE394" s="33" t="n">
        <f aca="false">IF(AQ394="7",BI394,0)</f>
        <v>0</v>
      </c>
      <c r="AF394" s="33" t="n">
        <f aca="false">IF(AQ394="2",BH394,0)</f>
        <v>0</v>
      </c>
      <c r="AG394" s="33" t="n">
        <f aca="false">IF(AQ394="2",BI394,0)</f>
        <v>0</v>
      </c>
      <c r="AH394" s="33" t="n">
        <f aca="false">IF(AQ394="0",BJ394,0)</f>
        <v>0</v>
      </c>
      <c r="AI394" s="18"/>
      <c r="AJ394" s="33" t="n">
        <f aca="false">IF(AN394=0,J394,0)</f>
        <v>0</v>
      </c>
      <c r="AK394" s="33" t="n">
        <f aca="false">IF(AN394=12,J394,0)</f>
        <v>0</v>
      </c>
      <c r="AL394" s="33" t="n">
        <f aca="false">IF(AN394=21,J394,0)</f>
        <v>0</v>
      </c>
      <c r="AN394" s="33" t="n">
        <v>12</v>
      </c>
      <c r="AO394" s="33" t="n">
        <f aca="false">G394*0.035720166</f>
        <v>0</v>
      </c>
      <c r="AP394" s="33" t="n">
        <f aca="false">G394*(1-0.035720166)</f>
        <v>0</v>
      </c>
      <c r="AQ394" s="35" t="s">
        <v>80</v>
      </c>
      <c r="AV394" s="33" t="n">
        <f aca="false">AW394+AX394</f>
        <v>0</v>
      </c>
      <c r="AW394" s="33" t="n">
        <f aca="false">F394*AO394</f>
        <v>0</v>
      </c>
      <c r="AX394" s="33" t="n">
        <f aca="false">F394*AP394</f>
        <v>0</v>
      </c>
      <c r="AY394" s="35" t="s">
        <v>769</v>
      </c>
      <c r="AZ394" s="35" t="s">
        <v>770</v>
      </c>
      <c r="BA394" s="18" t="s">
        <v>57</v>
      </c>
      <c r="BC394" s="33" t="n">
        <f aca="false">AW394+AX394</f>
        <v>0</v>
      </c>
      <c r="BD394" s="33" t="n">
        <f aca="false">G394/(100-BE394)*100</f>
        <v>0</v>
      </c>
      <c r="BE394" s="33" t="n">
        <v>0</v>
      </c>
      <c r="BF394" s="33" t="n">
        <f aca="false">397</f>
        <v>397</v>
      </c>
      <c r="BH394" s="33" t="n">
        <f aca="false">F394*AO394</f>
        <v>0</v>
      </c>
      <c r="BI394" s="33" t="n">
        <f aca="false">F394*AP394</f>
        <v>0</v>
      </c>
      <c r="BJ394" s="33" t="n">
        <f aca="false">F394*G394</f>
        <v>0</v>
      </c>
      <c r="BK394" s="33"/>
      <c r="BL394" s="33" t="n">
        <v>771</v>
      </c>
      <c r="BW394" s="33" t="n">
        <v>12</v>
      </c>
      <c r="BX394" s="9" t="s">
        <v>779</v>
      </c>
    </row>
    <row r="395" customFormat="false" ht="15" hidden="false" customHeight="false" outlineLevel="0" collapsed="false">
      <c r="A395" s="36"/>
      <c r="C395" s="37" t="s">
        <v>780</v>
      </c>
      <c r="D395" s="37" t="s">
        <v>212</v>
      </c>
      <c r="F395" s="38" t="n">
        <v>149.52</v>
      </c>
      <c r="K395" s="39"/>
    </row>
    <row r="396" customFormat="false" ht="15" hidden="false" customHeight="false" outlineLevel="0" collapsed="false">
      <c r="A396" s="36"/>
      <c r="C396" s="37" t="s">
        <v>781</v>
      </c>
      <c r="D396" s="37"/>
      <c r="F396" s="38" t="n">
        <v>120.72</v>
      </c>
      <c r="K396" s="39"/>
    </row>
    <row r="397" customFormat="false" ht="15" hidden="false" customHeight="false" outlineLevel="0" collapsed="false">
      <c r="A397" s="36"/>
      <c r="C397" s="37" t="s">
        <v>782</v>
      </c>
      <c r="D397" s="37" t="s">
        <v>783</v>
      </c>
      <c r="F397" s="38" t="n">
        <v>2.5</v>
      </c>
      <c r="K397" s="39"/>
    </row>
    <row r="398" customFormat="false" ht="15" hidden="false" customHeight="true" outlineLevel="0" collapsed="false">
      <c r="A398" s="32" t="s">
        <v>784</v>
      </c>
      <c r="B398" s="10" t="s">
        <v>785</v>
      </c>
      <c r="C398" s="9" t="s">
        <v>786</v>
      </c>
      <c r="D398" s="9"/>
      <c r="E398" s="10" t="s">
        <v>83</v>
      </c>
      <c r="F398" s="33" t="n">
        <v>242.52694</v>
      </c>
      <c r="G398" s="33" t="n">
        <v>0</v>
      </c>
      <c r="H398" s="33" t="n">
        <f aca="false">F398*AO398</f>
        <v>0</v>
      </c>
      <c r="I398" s="33" t="n">
        <f aca="false">F398*AP398</f>
        <v>0</v>
      </c>
      <c r="J398" s="33" t="n">
        <f aca="false">F398*G398</f>
        <v>0</v>
      </c>
      <c r="K398" s="34" t="s">
        <v>55</v>
      </c>
      <c r="Z398" s="33" t="n">
        <f aca="false">IF(AQ398="5",BJ398,0)</f>
        <v>0</v>
      </c>
      <c r="AB398" s="33" t="n">
        <f aca="false">IF(AQ398="1",BH398,0)</f>
        <v>0</v>
      </c>
      <c r="AC398" s="33" t="n">
        <f aca="false">IF(AQ398="1",BI398,0)</f>
        <v>0</v>
      </c>
      <c r="AD398" s="33" t="n">
        <f aca="false">IF(AQ398="7",BH398,0)</f>
        <v>0</v>
      </c>
      <c r="AE398" s="33" t="n">
        <f aca="false">IF(AQ398="7",BI398,0)</f>
        <v>0</v>
      </c>
      <c r="AF398" s="33" t="n">
        <f aca="false">IF(AQ398="2",BH398,0)</f>
        <v>0</v>
      </c>
      <c r="AG398" s="33" t="n">
        <f aca="false">IF(AQ398="2",BI398,0)</f>
        <v>0</v>
      </c>
      <c r="AH398" s="33" t="n">
        <f aca="false">IF(AQ398="0",BJ398,0)</f>
        <v>0</v>
      </c>
      <c r="AI398" s="18"/>
      <c r="AJ398" s="33" t="n">
        <f aca="false">IF(AN398=0,J398,0)</f>
        <v>0</v>
      </c>
      <c r="AK398" s="33" t="n">
        <f aca="false">IF(AN398=12,J398,0)</f>
        <v>0</v>
      </c>
      <c r="AL398" s="33" t="n">
        <f aca="false">IF(AN398=21,J398,0)</f>
        <v>0</v>
      </c>
      <c r="AN398" s="33" t="n">
        <v>12</v>
      </c>
      <c r="AO398" s="33" t="n">
        <f aca="false">G398*1</f>
        <v>0</v>
      </c>
      <c r="AP398" s="33" t="n">
        <f aca="false">G398*(1-1)</f>
        <v>0</v>
      </c>
      <c r="AQ398" s="35" t="s">
        <v>80</v>
      </c>
      <c r="AV398" s="33" t="n">
        <f aca="false">AW398+AX398</f>
        <v>0</v>
      </c>
      <c r="AW398" s="33" t="n">
        <f aca="false">F398*AO398</f>
        <v>0</v>
      </c>
      <c r="AX398" s="33" t="n">
        <f aca="false">F398*AP398</f>
        <v>0</v>
      </c>
      <c r="AY398" s="35" t="s">
        <v>769</v>
      </c>
      <c r="AZ398" s="35" t="s">
        <v>770</v>
      </c>
      <c r="BA398" s="18" t="s">
        <v>57</v>
      </c>
      <c r="BC398" s="33" t="n">
        <f aca="false">AW398+AX398</f>
        <v>0</v>
      </c>
      <c r="BD398" s="33" t="n">
        <f aca="false">G398/(100-BE398)*100</f>
        <v>0</v>
      </c>
      <c r="BE398" s="33" t="n">
        <v>0</v>
      </c>
      <c r="BF398" s="33" t="n">
        <f aca="false">401</f>
        <v>401</v>
      </c>
      <c r="BH398" s="33" t="n">
        <f aca="false">F398*AO398</f>
        <v>0</v>
      </c>
      <c r="BI398" s="33" t="n">
        <f aca="false">F398*AP398</f>
        <v>0</v>
      </c>
      <c r="BJ398" s="33" t="n">
        <f aca="false">F398*G398</f>
        <v>0</v>
      </c>
      <c r="BK398" s="33"/>
      <c r="BL398" s="33" t="n">
        <v>771</v>
      </c>
      <c r="BW398" s="33" t="n">
        <v>12</v>
      </c>
      <c r="BX398" s="9" t="s">
        <v>786</v>
      </c>
    </row>
    <row r="399" customFormat="false" ht="15" hidden="false" customHeight="false" outlineLevel="0" collapsed="false">
      <c r="A399" s="36"/>
      <c r="C399" s="37" t="s">
        <v>787</v>
      </c>
      <c r="D399" s="37" t="s">
        <v>788</v>
      </c>
      <c r="F399" s="38" t="n">
        <v>27.2</v>
      </c>
      <c r="K399" s="39"/>
    </row>
    <row r="400" customFormat="false" ht="15" hidden="false" customHeight="false" outlineLevel="0" collapsed="false">
      <c r="A400" s="36"/>
      <c r="C400" s="37" t="s">
        <v>789</v>
      </c>
      <c r="D400" s="37" t="s">
        <v>790</v>
      </c>
      <c r="F400" s="38" t="n">
        <v>201.599</v>
      </c>
      <c r="K400" s="39"/>
    </row>
    <row r="401" customFormat="false" ht="15" hidden="false" customHeight="false" outlineLevel="0" collapsed="false">
      <c r="A401" s="36"/>
      <c r="C401" s="37" t="s">
        <v>791</v>
      </c>
      <c r="D401" s="37"/>
      <c r="F401" s="38" t="n">
        <v>13.72794</v>
      </c>
      <c r="K401" s="39"/>
    </row>
    <row r="402" customFormat="false" ht="15" hidden="false" customHeight="true" outlineLevel="0" collapsed="false">
      <c r="A402" s="32" t="s">
        <v>792</v>
      </c>
      <c r="B402" s="10" t="s">
        <v>793</v>
      </c>
      <c r="C402" s="9" t="s">
        <v>794</v>
      </c>
      <c r="D402" s="9"/>
      <c r="E402" s="10" t="s">
        <v>91</v>
      </c>
      <c r="F402" s="33" t="n">
        <v>21</v>
      </c>
      <c r="G402" s="33" t="n">
        <v>0</v>
      </c>
      <c r="H402" s="33" t="n">
        <f aca="false">F402*AO402</f>
        <v>0</v>
      </c>
      <c r="I402" s="33" t="n">
        <f aca="false">F402*AP402</f>
        <v>0</v>
      </c>
      <c r="J402" s="33" t="n">
        <f aca="false">F402*G402</f>
        <v>0</v>
      </c>
      <c r="K402" s="34" t="s">
        <v>55</v>
      </c>
      <c r="Z402" s="33" t="n">
        <f aca="false">IF(AQ402="5",BJ402,0)</f>
        <v>0</v>
      </c>
      <c r="AB402" s="33" t="n">
        <f aca="false">IF(AQ402="1",BH402,0)</f>
        <v>0</v>
      </c>
      <c r="AC402" s="33" t="n">
        <f aca="false">IF(AQ402="1",BI402,0)</f>
        <v>0</v>
      </c>
      <c r="AD402" s="33" t="n">
        <f aca="false">IF(AQ402="7",BH402,0)</f>
        <v>0</v>
      </c>
      <c r="AE402" s="33" t="n">
        <f aca="false">IF(AQ402="7",BI402,0)</f>
        <v>0</v>
      </c>
      <c r="AF402" s="33" t="n">
        <f aca="false">IF(AQ402="2",BH402,0)</f>
        <v>0</v>
      </c>
      <c r="AG402" s="33" t="n">
        <f aca="false">IF(AQ402="2",BI402,0)</f>
        <v>0</v>
      </c>
      <c r="AH402" s="33" t="n">
        <f aca="false">IF(AQ402="0",BJ402,0)</f>
        <v>0</v>
      </c>
      <c r="AI402" s="18"/>
      <c r="AJ402" s="33" t="n">
        <f aca="false">IF(AN402=0,J402,0)</f>
        <v>0</v>
      </c>
      <c r="AK402" s="33" t="n">
        <f aca="false">IF(AN402=12,J402,0)</f>
        <v>0</v>
      </c>
      <c r="AL402" s="33" t="n">
        <f aca="false">IF(AN402=21,J402,0)</f>
        <v>0</v>
      </c>
      <c r="AN402" s="33" t="n">
        <v>12</v>
      </c>
      <c r="AO402" s="33" t="n">
        <f aca="false">G402*0.394985173</f>
        <v>0</v>
      </c>
      <c r="AP402" s="33" t="n">
        <f aca="false">G402*(1-0.394985173)</f>
        <v>0</v>
      </c>
      <c r="AQ402" s="35" t="s">
        <v>80</v>
      </c>
      <c r="AV402" s="33" t="n">
        <f aca="false">AW402+AX402</f>
        <v>0</v>
      </c>
      <c r="AW402" s="33" t="n">
        <f aca="false">F402*AO402</f>
        <v>0</v>
      </c>
      <c r="AX402" s="33" t="n">
        <f aca="false">F402*AP402</f>
        <v>0</v>
      </c>
      <c r="AY402" s="35" t="s">
        <v>769</v>
      </c>
      <c r="AZ402" s="35" t="s">
        <v>770</v>
      </c>
      <c r="BA402" s="18" t="s">
        <v>57</v>
      </c>
      <c r="BC402" s="33" t="n">
        <f aca="false">AW402+AX402</f>
        <v>0</v>
      </c>
      <c r="BD402" s="33" t="n">
        <f aca="false">G402/(100-BE402)*100</f>
        <v>0</v>
      </c>
      <c r="BE402" s="33" t="n">
        <v>0</v>
      </c>
      <c r="BF402" s="33" t="n">
        <f aca="false">405</f>
        <v>405</v>
      </c>
      <c r="BH402" s="33" t="n">
        <f aca="false">F402*AO402</f>
        <v>0</v>
      </c>
      <c r="BI402" s="33" t="n">
        <f aca="false">F402*AP402</f>
        <v>0</v>
      </c>
      <c r="BJ402" s="33" t="n">
        <f aca="false">F402*G402</f>
        <v>0</v>
      </c>
      <c r="BK402" s="33"/>
      <c r="BL402" s="33" t="n">
        <v>771</v>
      </c>
      <c r="BW402" s="33" t="n">
        <v>12</v>
      </c>
      <c r="BX402" s="9" t="s">
        <v>794</v>
      </c>
    </row>
    <row r="403" customFormat="false" ht="15" hidden="false" customHeight="false" outlineLevel="0" collapsed="false">
      <c r="A403" s="36"/>
      <c r="C403" s="37" t="s">
        <v>795</v>
      </c>
      <c r="D403" s="37"/>
      <c r="F403" s="38" t="n">
        <v>21</v>
      </c>
      <c r="K403" s="39"/>
    </row>
    <row r="404" customFormat="false" ht="15" hidden="false" customHeight="true" outlineLevel="0" collapsed="false">
      <c r="A404" s="32" t="s">
        <v>796</v>
      </c>
      <c r="B404" s="10" t="s">
        <v>797</v>
      </c>
      <c r="C404" s="9" t="s">
        <v>798</v>
      </c>
      <c r="D404" s="9"/>
      <c r="E404" s="10" t="s">
        <v>83</v>
      </c>
      <c r="F404" s="33" t="n">
        <v>198.899</v>
      </c>
      <c r="G404" s="33" t="n">
        <v>0</v>
      </c>
      <c r="H404" s="33" t="n">
        <f aca="false">F404*AO404</f>
        <v>0</v>
      </c>
      <c r="I404" s="33" t="n">
        <f aca="false">F404*AP404</f>
        <v>0</v>
      </c>
      <c r="J404" s="33" t="n">
        <f aca="false">F404*G404</f>
        <v>0</v>
      </c>
      <c r="K404" s="34" t="s">
        <v>84</v>
      </c>
      <c r="Z404" s="33" t="n">
        <f aca="false">IF(AQ404="5",BJ404,0)</f>
        <v>0</v>
      </c>
      <c r="AB404" s="33" t="n">
        <f aca="false">IF(AQ404="1",BH404,0)</f>
        <v>0</v>
      </c>
      <c r="AC404" s="33" t="n">
        <f aca="false">IF(AQ404="1",BI404,0)</f>
        <v>0</v>
      </c>
      <c r="AD404" s="33" t="n">
        <f aca="false">IF(AQ404="7",BH404,0)</f>
        <v>0</v>
      </c>
      <c r="AE404" s="33" t="n">
        <f aca="false">IF(AQ404="7",BI404,0)</f>
        <v>0</v>
      </c>
      <c r="AF404" s="33" t="n">
        <f aca="false">IF(AQ404="2",BH404,0)</f>
        <v>0</v>
      </c>
      <c r="AG404" s="33" t="n">
        <f aca="false">IF(AQ404="2",BI404,0)</f>
        <v>0</v>
      </c>
      <c r="AH404" s="33" t="n">
        <f aca="false">IF(AQ404="0",BJ404,0)</f>
        <v>0</v>
      </c>
      <c r="AI404" s="18"/>
      <c r="AJ404" s="33" t="n">
        <f aca="false">IF(AN404=0,J404,0)</f>
        <v>0</v>
      </c>
      <c r="AK404" s="33" t="n">
        <f aca="false">IF(AN404=12,J404,0)</f>
        <v>0</v>
      </c>
      <c r="AL404" s="33" t="n">
        <f aca="false">IF(AN404=21,J404,0)</f>
        <v>0</v>
      </c>
      <c r="AN404" s="33" t="n">
        <v>12</v>
      </c>
      <c r="AO404" s="33" t="n">
        <f aca="false">G404*0.785607666</f>
        <v>0</v>
      </c>
      <c r="AP404" s="33" t="n">
        <f aca="false">G404*(1-0.785607666)</f>
        <v>0</v>
      </c>
      <c r="AQ404" s="35" t="s">
        <v>80</v>
      </c>
      <c r="AV404" s="33" t="n">
        <f aca="false">AW404+AX404</f>
        <v>0</v>
      </c>
      <c r="AW404" s="33" t="n">
        <f aca="false">F404*AO404</f>
        <v>0</v>
      </c>
      <c r="AX404" s="33" t="n">
        <f aca="false">F404*AP404</f>
        <v>0</v>
      </c>
      <c r="AY404" s="35" t="s">
        <v>769</v>
      </c>
      <c r="AZ404" s="35" t="s">
        <v>770</v>
      </c>
      <c r="BA404" s="18" t="s">
        <v>57</v>
      </c>
      <c r="BC404" s="33" t="n">
        <f aca="false">AW404+AX404</f>
        <v>0</v>
      </c>
      <c r="BD404" s="33" t="n">
        <f aca="false">G404/(100-BE404)*100</f>
        <v>0</v>
      </c>
      <c r="BE404" s="33" t="n">
        <v>0</v>
      </c>
      <c r="BF404" s="33" t="n">
        <f aca="false">407</f>
        <v>407</v>
      </c>
      <c r="BH404" s="33" t="n">
        <f aca="false">F404*AO404</f>
        <v>0</v>
      </c>
      <c r="BI404" s="33" t="n">
        <f aca="false">F404*AP404</f>
        <v>0</v>
      </c>
      <c r="BJ404" s="33" t="n">
        <f aca="false">F404*G404</f>
        <v>0</v>
      </c>
      <c r="BK404" s="33"/>
      <c r="BL404" s="33" t="n">
        <v>771</v>
      </c>
      <c r="BW404" s="33" t="n">
        <v>12</v>
      </c>
      <c r="BX404" s="9" t="s">
        <v>798</v>
      </c>
    </row>
    <row r="405" customFormat="false" ht="79.85" hidden="false" customHeight="false" outlineLevel="0" collapsed="false">
      <c r="A405" s="36"/>
      <c r="C405" s="37" t="s">
        <v>799</v>
      </c>
      <c r="D405" s="40" t="s">
        <v>800</v>
      </c>
      <c r="F405" s="38" t="n">
        <v>198.899</v>
      </c>
      <c r="K405" s="39"/>
    </row>
    <row r="406" customFormat="false" ht="15" hidden="false" customHeight="true" outlineLevel="0" collapsed="false">
      <c r="A406" s="32" t="s">
        <v>801</v>
      </c>
      <c r="B406" s="10" t="s">
        <v>802</v>
      </c>
      <c r="C406" s="9" t="s">
        <v>803</v>
      </c>
      <c r="D406" s="9"/>
      <c r="E406" s="10" t="s">
        <v>172</v>
      </c>
      <c r="F406" s="33" t="n">
        <v>7.303</v>
      </c>
      <c r="G406" s="33" t="n">
        <v>0</v>
      </c>
      <c r="H406" s="33" t="n">
        <f aca="false">F406*AO406</f>
        <v>0</v>
      </c>
      <c r="I406" s="33" t="n">
        <f aca="false">F406*AP406</f>
        <v>0</v>
      </c>
      <c r="J406" s="33" t="n">
        <f aca="false">F406*G406</f>
        <v>0</v>
      </c>
      <c r="K406" s="34" t="s">
        <v>55</v>
      </c>
      <c r="Z406" s="33" t="n">
        <f aca="false">IF(AQ406="5",BJ406,0)</f>
        <v>0</v>
      </c>
      <c r="AB406" s="33" t="n">
        <f aca="false">IF(AQ406="1",BH406,0)</f>
        <v>0</v>
      </c>
      <c r="AC406" s="33" t="n">
        <f aca="false">IF(AQ406="1",BI406,0)</f>
        <v>0</v>
      </c>
      <c r="AD406" s="33" t="n">
        <f aca="false">IF(AQ406="7",BH406,0)</f>
        <v>0</v>
      </c>
      <c r="AE406" s="33" t="n">
        <f aca="false">IF(AQ406="7",BI406,0)</f>
        <v>0</v>
      </c>
      <c r="AF406" s="33" t="n">
        <f aca="false">IF(AQ406="2",BH406,0)</f>
        <v>0</v>
      </c>
      <c r="AG406" s="33" t="n">
        <f aca="false">IF(AQ406="2",BI406,0)</f>
        <v>0</v>
      </c>
      <c r="AH406" s="33" t="n">
        <f aca="false">IF(AQ406="0",BJ406,0)</f>
        <v>0</v>
      </c>
      <c r="AI406" s="18"/>
      <c r="AJ406" s="33" t="n">
        <f aca="false">IF(AN406=0,J406,0)</f>
        <v>0</v>
      </c>
      <c r="AK406" s="33" t="n">
        <f aca="false">IF(AN406=12,J406,0)</f>
        <v>0</v>
      </c>
      <c r="AL406" s="33" t="n">
        <f aca="false">IF(AN406=21,J406,0)</f>
        <v>0</v>
      </c>
      <c r="AN406" s="33" t="n">
        <v>12</v>
      </c>
      <c r="AO406" s="33" t="n">
        <f aca="false">G406*0</f>
        <v>0</v>
      </c>
      <c r="AP406" s="33" t="n">
        <f aca="false">G406*(1-0)</f>
        <v>0</v>
      </c>
      <c r="AQ406" s="35" t="s">
        <v>68</v>
      </c>
      <c r="AV406" s="33" t="n">
        <f aca="false">AW406+AX406</f>
        <v>0</v>
      </c>
      <c r="AW406" s="33" t="n">
        <f aca="false">F406*AO406</f>
        <v>0</v>
      </c>
      <c r="AX406" s="33" t="n">
        <f aca="false">F406*AP406</f>
        <v>0</v>
      </c>
      <c r="AY406" s="35" t="s">
        <v>769</v>
      </c>
      <c r="AZ406" s="35" t="s">
        <v>770</v>
      </c>
      <c r="BA406" s="18" t="s">
        <v>57</v>
      </c>
      <c r="BC406" s="33" t="n">
        <f aca="false">AW406+AX406</f>
        <v>0</v>
      </c>
      <c r="BD406" s="33" t="n">
        <f aca="false">G406/(100-BE406)*100</f>
        <v>0</v>
      </c>
      <c r="BE406" s="33" t="n">
        <v>0</v>
      </c>
      <c r="BF406" s="33" t="n">
        <f aca="false">413</f>
        <v>413</v>
      </c>
      <c r="BH406" s="33" t="n">
        <f aca="false">F406*AO406</f>
        <v>0</v>
      </c>
      <c r="BI406" s="33" t="n">
        <f aca="false">F406*AP406</f>
        <v>0</v>
      </c>
      <c r="BJ406" s="33" t="n">
        <f aca="false">F406*G406</f>
        <v>0</v>
      </c>
      <c r="BK406" s="33"/>
      <c r="BL406" s="33" t="n">
        <v>771</v>
      </c>
      <c r="BW406" s="33" t="n">
        <v>12</v>
      </c>
      <c r="BX406" s="9" t="s">
        <v>803</v>
      </c>
    </row>
    <row r="407" customFormat="false" ht="15" hidden="false" customHeight="false" outlineLevel="0" collapsed="false">
      <c r="A407" s="36"/>
      <c r="C407" s="37" t="s">
        <v>804</v>
      </c>
      <c r="D407" s="37"/>
      <c r="F407" s="38" t="n">
        <v>7.303</v>
      </c>
      <c r="K407" s="39"/>
    </row>
    <row r="408" customFormat="false" ht="15" hidden="false" customHeight="true" outlineLevel="0" collapsed="false">
      <c r="A408" s="27"/>
      <c r="B408" s="28" t="s">
        <v>805</v>
      </c>
      <c r="C408" s="29" t="s">
        <v>806</v>
      </c>
      <c r="D408" s="29"/>
      <c r="E408" s="30" t="s">
        <v>4</v>
      </c>
      <c r="F408" s="30" t="s">
        <v>4</v>
      </c>
      <c r="G408" s="30" t="s">
        <v>4</v>
      </c>
      <c r="H408" s="2" t="n">
        <f aca="false">SUM(H409:H414)</f>
        <v>0</v>
      </c>
      <c r="I408" s="2" t="n">
        <f aca="false">SUM(I409:I414)</f>
        <v>0</v>
      </c>
      <c r="J408" s="2" t="n">
        <f aca="false">SUM(J409:J414)</f>
        <v>0</v>
      </c>
      <c r="K408" s="31"/>
      <c r="AI408" s="18"/>
      <c r="AS408" s="2" t="n">
        <f aca="false">SUM(AJ409:AJ414)</f>
        <v>0</v>
      </c>
      <c r="AT408" s="2" t="n">
        <f aca="false">SUM(AK409:AK414)</f>
        <v>0</v>
      </c>
      <c r="AU408" s="2" t="n">
        <f aca="false">SUM(AL409:AL414)</f>
        <v>0</v>
      </c>
    </row>
    <row r="409" customFormat="false" ht="15" hidden="false" customHeight="true" outlineLevel="0" collapsed="false">
      <c r="A409" s="32" t="s">
        <v>807</v>
      </c>
      <c r="B409" s="10" t="s">
        <v>808</v>
      </c>
      <c r="C409" s="9" t="s">
        <v>809</v>
      </c>
      <c r="D409" s="9"/>
      <c r="E409" s="10" t="s">
        <v>83</v>
      </c>
      <c r="F409" s="33" t="n">
        <v>6.025</v>
      </c>
      <c r="G409" s="33" t="n">
        <v>0</v>
      </c>
      <c r="H409" s="33" t="n">
        <f aca="false">F409*AO409</f>
        <v>0</v>
      </c>
      <c r="I409" s="33" t="n">
        <f aca="false">F409*AP409</f>
        <v>0</v>
      </c>
      <c r="J409" s="33" t="n">
        <f aca="false">F409*G409</f>
        <v>0</v>
      </c>
      <c r="K409" s="34" t="s">
        <v>55</v>
      </c>
      <c r="Z409" s="33" t="n">
        <f aca="false">IF(AQ409="5",BJ409,0)</f>
        <v>0</v>
      </c>
      <c r="AB409" s="33" t="n">
        <f aca="false">IF(AQ409="1",BH409,0)</f>
        <v>0</v>
      </c>
      <c r="AC409" s="33" t="n">
        <f aca="false">IF(AQ409="1",BI409,0)</f>
        <v>0</v>
      </c>
      <c r="AD409" s="33" t="n">
        <f aca="false">IF(AQ409="7",BH409,0)</f>
        <v>0</v>
      </c>
      <c r="AE409" s="33" t="n">
        <f aca="false">IF(AQ409="7",BI409,0)</f>
        <v>0</v>
      </c>
      <c r="AF409" s="33" t="n">
        <f aca="false">IF(AQ409="2",BH409,0)</f>
        <v>0</v>
      </c>
      <c r="AG409" s="33" t="n">
        <f aca="false">IF(AQ409="2",BI409,0)</f>
        <v>0</v>
      </c>
      <c r="AH409" s="33" t="n">
        <f aca="false">IF(AQ409="0",BJ409,0)</f>
        <v>0</v>
      </c>
      <c r="AI409" s="18"/>
      <c r="AJ409" s="33" t="n">
        <f aca="false">IF(AN409=0,J409,0)</f>
        <v>0</v>
      </c>
      <c r="AK409" s="33" t="n">
        <f aca="false">IF(AN409=12,J409,0)</f>
        <v>0</v>
      </c>
      <c r="AL409" s="33" t="n">
        <f aca="false">IF(AN409=21,J409,0)</f>
        <v>0</v>
      </c>
      <c r="AN409" s="33" t="n">
        <v>12</v>
      </c>
      <c r="AO409" s="33" t="n">
        <f aca="false">G409*0.345647291</f>
        <v>0</v>
      </c>
      <c r="AP409" s="33" t="n">
        <f aca="false">G409*(1-0.345647291)</f>
        <v>0</v>
      </c>
      <c r="AQ409" s="35" t="s">
        <v>80</v>
      </c>
      <c r="AV409" s="33" t="n">
        <f aca="false">AW409+AX409</f>
        <v>0</v>
      </c>
      <c r="AW409" s="33" t="n">
        <f aca="false">F409*AO409</f>
        <v>0</v>
      </c>
      <c r="AX409" s="33" t="n">
        <f aca="false">F409*AP409</f>
        <v>0</v>
      </c>
      <c r="AY409" s="35" t="s">
        <v>810</v>
      </c>
      <c r="AZ409" s="35" t="s">
        <v>811</v>
      </c>
      <c r="BA409" s="18" t="s">
        <v>57</v>
      </c>
      <c r="BC409" s="33" t="n">
        <f aca="false">AW409+AX409</f>
        <v>0</v>
      </c>
      <c r="BD409" s="33" t="n">
        <f aca="false">G409/(100-BE409)*100</f>
        <v>0</v>
      </c>
      <c r="BE409" s="33" t="n">
        <v>0</v>
      </c>
      <c r="BF409" s="33" t="n">
        <f aca="false">416</f>
        <v>416</v>
      </c>
      <c r="BH409" s="33" t="n">
        <f aca="false">F409*AO409</f>
        <v>0</v>
      </c>
      <c r="BI409" s="33" t="n">
        <f aca="false">F409*AP409</f>
        <v>0</v>
      </c>
      <c r="BJ409" s="33" t="n">
        <f aca="false">F409*G409</f>
        <v>0</v>
      </c>
      <c r="BK409" s="33"/>
      <c r="BL409" s="33" t="n">
        <v>783</v>
      </c>
      <c r="BW409" s="33" t="n">
        <v>12</v>
      </c>
      <c r="BX409" s="9" t="s">
        <v>809</v>
      </c>
    </row>
    <row r="410" customFormat="false" ht="15" hidden="false" customHeight="false" outlineLevel="0" collapsed="false">
      <c r="A410" s="36"/>
      <c r="C410" s="37" t="s">
        <v>812</v>
      </c>
      <c r="D410" s="37" t="s">
        <v>813</v>
      </c>
      <c r="F410" s="38" t="n">
        <v>4</v>
      </c>
      <c r="K410" s="39"/>
    </row>
    <row r="411" customFormat="false" ht="15" hidden="false" customHeight="false" outlineLevel="0" collapsed="false">
      <c r="A411" s="36"/>
      <c r="C411" s="37" t="s">
        <v>814</v>
      </c>
      <c r="D411" s="37" t="s">
        <v>815</v>
      </c>
      <c r="F411" s="38" t="n">
        <v>2.025</v>
      </c>
      <c r="K411" s="39"/>
    </row>
    <row r="412" customFormat="false" ht="15" hidden="false" customHeight="true" outlineLevel="0" collapsed="false">
      <c r="A412" s="32" t="s">
        <v>816</v>
      </c>
      <c r="B412" s="10" t="s">
        <v>817</v>
      </c>
      <c r="C412" s="9" t="s">
        <v>818</v>
      </c>
      <c r="D412" s="9"/>
      <c r="E412" s="10" t="s">
        <v>91</v>
      </c>
      <c r="F412" s="33" t="n">
        <v>7</v>
      </c>
      <c r="G412" s="33" t="n">
        <v>0</v>
      </c>
      <c r="H412" s="33" t="n">
        <f aca="false">F412*AO412</f>
        <v>0</v>
      </c>
      <c r="I412" s="33" t="n">
        <f aca="false">F412*AP412</f>
        <v>0</v>
      </c>
      <c r="J412" s="33" t="n">
        <f aca="false">F412*G412</f>
        <v>0</v>
      </c>
      <c r="K412" s="34" t="s">
        <v>55</v>
      </c>
      <c r="Z412" s="33" t="n">
        <f aca="false">IF(AQ412="5",BJ412,0)</f>
        <v>0</v>
      </c>
      <c r="AB412" s="33" t="n">
        <f aca="false">IF(AQ412="1",BH412,0)</f>
        <v>0</v>
      </c>
      <c r="AC412" s="33" t="n">
        <f aca="false">IF(AQ412="1",BI412,0)</f>
        <v>0</v>
      </c>
      <c r="AD412" s="33" t="n">
        <f aca="false">IF(AQ412="7",BH412,0)</f>
        <v>0</v>
      </c>
      <c r="AE412" s="33" t="n">
        <f aca="false">IF(AQ412="7",BI412,0)</f>
        <v>0</v>
      </c>
      <c r="AF412" s="33" t="n">
        <f aca="false">IF(AQ412="2",BH412,0)</f>
        <v>0</v>
      </c>
      <c r="AG412" s="33" t="n">
        <f aca="false">IF(AQ412="2",BI412,0)</f>
        <v>0</v>
      </c>
      <c r="AH412" s="33" t="n">
        <f aca="false">IF(AQ412="0",BJ412,0)</f>
        <v>0</v>
      </c>
      <c r="AI412" s="18"/>
      <c r="AJ412" s="33" t="n">
        <f aca="false">IF(AN412=0,J412,0)</f>
        <v>0</v>
      </c>
      <c r="AK412" s="33" t="n">
        <f aca="false">IF(AN412=12,J412,0)</f>
        <v>0</v>
      </c>
      <c r="AL412" s="33" t="n">
        <f aca="false">IF(AN412=21,J412,0)</f>
        <v>0</v>
      </c>
      <c r="AN412" s="33" t="n">
        <v>12</v>
      </c>
      <c r="AO412" s="33" t="n">
        <f aca="false">G412*0.469225199</f>
        <v>0</v>
      </c>
      <c r="AP412" s="33" t="n">
        <f aca="false">G412*(1-0.469225199)</f>
        <v>0</v>
      </c>
      <c r="AQ412" s="35" t="s">
        <v>80</v>
      </c>
      <c r="AV412" s="33" t="n">
        <f aca="false">AW412+AX412</f>
        <v>0</v>
      </c>
      <c r="AW412" s="33" t="n">
        <f aca="false">F412*AO412</f>
        <v>0</v>
      </c>
      <c r="AX412" s="33" t="n">
        <f aca="false">F412*AP412</f>
        <v>0</v>
      </c>
      <c r="AY412" s="35" t="s">
        <v>810</v>
      </c>
      <c r="AZ412" s="35" t="s">
        <v>811</v>
      </c>
      <c r="BA412" s="18" t="s">
        <v>57</v>
      </c>
      <c r="BC412" s="33" t="n">
        <f aca="false">AW412+AX412</f>
        <v>0</v>
      </c>
      <c r="BD412" s="33" t="n">
        <f aca="false">G412/(100-BE412)*100</f>
        <v>0</v>
      </c>
      <c r="BE412" s="33" t="n">
        <v>0</v>
      </c>
      <c r="BF412" s="33" t="n">
        <f aca="false">419</f>
        <v>419</v>
      </c>
      <c r="BH412" s="33" t="n">
        <f aca="false">F412*AO412</f>
        <v>0</v>
      </c>
      <c r="BI412" s="33" t="n">
        <f aca="false">F412*AP412</f>
        <v>0</v>
      </c>
      <c r="BJ412" s="33" t="n">
        <f aca="false">F412*G412</f>
        <v>0</v>
      </c>
      <c r="BK412" s="33"/>
      <c r="BL412" s="33" t="n">
        <v>783</v>
      </c>
      <c r="BW412" s="33" t="n">
        <v>12</v>
      </c>
      <c r="BX412" s="9" t="s">
        <v>818</v>
      </c>
    </row>
    <row r="413" customFormat="false" ht="15" hidden="false" customHeight="false" outlineLevel="0" collapsed="false">
      <c r="A413" s="36"/>
      <c r="C413" s="37" t="s">
        <v>80</v>
      </c>
      <c r="D413" s="37" t="s">
        <v>819</v>
      </c>
      <c r="F413" s="38" t="n">
        <v>7</v>
      </c>
      <c r="K413" s="39"/>
    </row>
    <row r="414" customFormat="false" ht="15" hidden="false" customHeight="true" outlineLevel="0" collapsed="false">
      <c r="A414" s="32" t="s">
        <v>820</v>
      </c>
      <c r="B414" s="10" t="s">
        <v>821</v>
      </c>
      <c r="C414" s="9" t="s">
        <v>822</v>
      </c>
      <c r="D414" s="9"/>
      <c r="E414" s="10" t="s">
        <v>91</v>
      </c>
      <c r="F414" s="33" t="n">
        <v>12</v>
      </c>
      <c r="G414" s="33" t="n">
        <v>0</v>
      </c>
      <c r="H414" s="33" t="n">
        <f aca="false">F414*AO414</f>
        <v>0</v>
      </c>
      <c r="I414" s="33" t="n">
        <f aca="false">F414*AP414</f>
        <v>0</v>
      </c>
      <c r="J414" s="33" t="n">
        <f aca="false">F414*G414</f>
        <v>0</v>
      </c>
      <c r="K414" s="34" t="s">
        <v>55</v>
      </c>
      <c r="Z414" s="33" t="n">
        <f aca="false">IF(AQ414="5",BJ414,0)</f>
        <v>0</v>
      </c>
      <c r="AB414" s="33" t="n">
        <f aca="false">IF(AQ414="1",BH414,0)</f>
        <v>0</v>
      </c>
      <c r="AC414" s="33" t="n">
        <f aca="false">IF(AQ414="1",BI414,0)</f>
        <v>0</v>
      </c>
      <c r="AD414" s="33" t="n">
        <f aca="false">IF(AQ414="7",BH414,0)</f>
        <v>0</v>
      </c>
      <c r="AE414" s="33" t="n">
        <f aca="false">IF(AQ414="7",BI414,0)</f>
        <v>0</v>
      </c>
      <c r="AF414" s="33" t="n">
        <f aca="false">IF(AQ414="2",BH414,0)</f>
        <v>0</v>
      </c>
      <c r="AG414" s="33" t="n">
        <f aca="false">IF(AQ414="2",BI414,0)</f>
        <v>0</v>
      </c>
      <c r="AH414" s="33" t="n">
        <f aca="false">IF(AQ414="0",BJ414,0)</f>
        <v>0</v>
      </c>
      <c r="AI414" s="18"/>
      <c r="AJ414" s="33" t="n">
        <f aca="false">IF(AN414=0,J414,0)</f>
        <v>0</v>
      </c>
      <c r="AK414" s="33" t="n">
        <f aca="false">IF(AN414=12,J414,0)</f>
        <v>0</v>
      </c>
      <c r="AL414" s="33" t="n">
        <f aca="false">IF(AN414=21,J414,0)</f>
        <v>0</v>
      </c>
      <c r="AN414" s="33" t="n">
        <v>12</v>
      </c>
      <c r="AO414" s="33" t="n">
        <f aca="false">G414*0.199224806</f>
        <v>0</v>
      </c>
      <c r="AP414" s="33" t="n">
        <f aca="false">G414*(1-0.199224806)</f>
        <v>0</v>
      </c>
      <c r="AQ414" s="35" t="s">
        <v>80</v>
      </c>
      <c r="AV414" s="33" t="n">
        <f aca="false">AW414+AX414</f>
        <v>0</v>
      </c>
      <c r="AW414" s="33" t="n">
        <f aca="false">F414*AO414</f>
        <v>0</v>
      </c>
      <c r="AX414" s="33" t="n">
        <f aca="false">F414*AP414</f>
        <v>0</v>
      </c>
      <c r="AY414" s="35" t="s">
        <v>810</v>
      </c>
      <c r="AZ414" s="35" t="s">
        <v>811</v>
      </c>
      <c r="BA414" s="18" t="s">
        <v>57</v>
      </c>
      <c r="BC414" s="33" t="n">
        <f aca="false">AW414+AX414</f>
        <v>0</v>
      </c>
      <c r="BD414" s="33" t="n">
        <f aca="false">G414/(100-BE414)*100</f>
        <v>0</v>
      </c>
      <c r="BE414" s="33" t="n">
        <v>0</v>
      </c>
      <c r="BF414" s="33" t="n">
        <f aca="false">421</f>
        <v>421</v>
      </c>
      <c r="BH414" s="33" t="n">
        <f aca="false">F414*AO414</f>
        <v>0</v>
      </c>
      <c r="BI414" s="33" t="n">
        <f aca="false">F414*AP414</f>
        <v>0</v>
      </c>
      <c r="BJ414" s="33" t="n">
        <f aca="false">F414*G414</f>
        <v>0</v>
      </c>
      <c r="BK414" s="33"/>
      <c r="BL414" s="33" t="n">
        <v>783</v>
      </c>
      <c r="BW414" s="33" t="n">
        <v>12</v>
      </c>
      <c r="BX414" s="9" t="s">
        <v>822</v>
      </c>
    </row>
    <row r="415" customFormat="false" ht="15" hidden="false" customHeight="false" outlineLevel="0" collapsed="false">
      <c r="A415" s="36"/>
      <c r="C415" s="37" t="s">
        <v>331</v>
      </c>
      <c r="D415" s="37" t="s">
        <v>823</v>
      </c>
      <c r="F415" s="38" t="n">
        <v>9.6</v>
      </c>
      <c r="K415" s="39"/>
    </row>
    <row r="416" customFormat="false" ht="15" hidden="false" customHeight="false" outlineLevel="0" collapsed="false">
      <c r="A416" s="36"/>
      <c r="C416" s="37" t="s">
        <v>824</v>
      </c>
      <c r="D416" s="37" t="s">
        <v>825</v>
      </c>
      <c r="F416" s="38" t="n">
        <v>2.4</v>
      </c>
      <c r="K416" s="39"/>
    </row>
    <row r="417" customFormat="false" ht="15" hidden="false" customHeight="true" outlineLevel="0" collapsed="false">
      <c r="A417" s="27"/>
      <c r="B417" s="28" t="s">
        <v>528</v>
      </c>
      <c r="C417" s="29" t="s">
        <v>826</v>
      </c>
      <c r="D417" s="29"/>
      <c r="E417" s="30" t="s">
        <v>4</v>
      </c>
      <c r="F417" s="30" t="s">
        <v>4</v>
      </c>
      <c r="G417" s="30" t="s">
        <v>4</v>
      </c>
      <c r="H417" s="2" t="n">
        <f aca="false">SUM(H418:H418)</f>
        <v>0</v>
      </c>
      <c r="I417" s="2" t="n">
        <f aca="false">SUM(I418:I418)</f>
        <v>0</v>
      </c>
      <c r="J417" s="2" t="n">
        <f aca="false">SUM(J418:J418)</f>
        <v>0</v>
      </c>
      <c r="K417" s="31"/>
      <c r="AI417" s="18"/>
      <c r="AS417" s="2" t="n">
        <f aca="false">SUM(AJ418:AJ418)</f>
        <v>0</v>
      </c>
      <c r="AT417" s="2" t="n">
        <f aca="false">SUM(AK418:AK418)</f>
        <v>0</v>
      </c>
      <c r="AU417" s="2" t="n">
        <f aca="false">SUM(AL418:AL418)</f>
        <v>0</v>
      </c>
    </row>
    <row r="418" customFormat="false" ht="15" hidden="false" customHeight="true" outlineLevel="0" collapsed="false">
      <c r="A418" s="32" t="s">
        <v>827</v>
      </c>
      <c r="B418" s="10" t="s">
        <v>828</v>
      </c>
      <c r="C418" s="9" t="s">
        <v>829</v>
      </c>
      <c r="D418" s="9"/>
      <c r="E418" s="10" t="s">
        <v>830</v>
      </c>
      <c r="F418" s="33" t="n">
        <v>80</v>
      </c>
      <c r="G418" s="33" t="n">
        <v>0</v>
      </c>
      <c r="H418" s="33" t="n">
        <f aca="false">F418*AO418</f>
        <v>0</v>
      </c>
      <c r="I418" s="33" t="n">
        <f aca="false">F418*AP418</f>
        <v>0</v>
      </c>
      <c r="J418" s="33" t="n">
        <f aca="false">F418*G418</f>
        <v>0</v>
      </c>
      <c r="K418" s="34" t="s">
        <v>55</v>
      </c>
      <c r="Z418" s="33" t="n">
        <f aca="false">IF(AQ418="5",BJ418,0)</f>
        <v>0</v>
      </c>
      <c r="AB418" s="33" t="n">
        <f aca="false">IF(AQ418="1",BH418,0)</f>
        <v>0</v>
      </c>
      <c r="AC418" s="33" t="n">
        <f aca="false">IF(AQ418="1",BI418,0)</f>
        <v>0</v>
      </c>
      <c r="AD418" s="33" t="n">
        <f aca="false">IF(AQ418="7",BH418,0)</f>
        <v>0</v>
      </c>
      <c r="AE418" s="33" t="n">
        <f aca="false">IF(AQ418="7",BI418,0)</f>
        <v>0</v>
      </c>
      <c r="AF418" s="33" t="n">
        <f aca="false">IF(AQ418="2",BH418,0)</f>
        <v>0</v>
      </c>
      <c r="AG418" s="33" t="n">
        <f aca="false">IF(AQ418="2",BI418,0)</f>
        <v>0</v>
      </c>
      <c r="AH418" s="33" t="n">
        <f aca="false">IF(AQ418="0",BJ418,0)</f>
        <v>0</v>
      </c>
      <c r="AI418" s="18"/>
      <c r="AJ418" s="33" t="n">
        <f aca="false">IF(AN418=0,J418,0)</f>
        <v>0</v>
      </c>
      <c r="AK418" s="33" t="n">
        <f aca="false">IF(AN418=12,J418,0)</f>
        <v>0</v>
      </c>
      <c r="AL418" s="33" t="n">
        <f aca="false">IF(AN418=21,J418,0)</f>
        <v>0</v>
      </c>
      <c r="AN418" s="33" t="n">
        <v>12</v>
      </c>
      <c r="AO418" s="33" t="n">
        <f aca="false">G418*0</f>
        <v>0</v>
      </c>
      <c r="AP418" s="33" t="n">
        <f aca="false">G418*(1-0)</f>
        <v>0</v>
      </c>
      <c r="AQ418" s="35" t="s">
        <v>51</v>
      </c>
      <c r="AV418" s="33" t="n">
        <f aca="false">AW418+AX418</f>
        <v>0</v>
      </c>
      <c r="AW418" s="33" t="n">
        <f aca="false">F418*AO418</f>
        <v>0</v>
      </c>
      <c r="AX418" s="33" t="n">
        <f aca="false">F418*AP418</f>
        <v>0</v>
      </c>
      <c r="AY418" s="35" t="s">
        <v>831</v>
      </c>
      <c r="AZ418" s="35" t="s">
        <v>832</v>
      </c>
      <c r="BA418" s="18" t="s">
        <v>57</v>
      </c>
      <c r="BC418" s="33" t="n">
        <f aca="false">AW418+AX418</f>
        <v>0</v>
      </c>
      <c r="BD418" s="33" t="n">
        <f aca="false">G418/(100-BE418)*100</f>
        <v>0</v>
      </c>
      <c r="BE418" s="33" t="n">
        <v>0</v>
      </c>
      <c r="BF418" s="33" t="n">
        <f aca="false">425</f>
        <v>425</v>
      </c>
      <c r="BH418" s="33" t="n">
        <f aca="false">F418*AO418</f>
        <v>0</v>
      </c>
      <c r="BI418" s="33" t="n">
        <f aca="false">F418*AP418</f>
        <v>0</v>
      </c>
      <c r="BJ418" s="33" t="n">
        <f aca="false">F418*G418</f>
        <v>0</v>
      </c>
      <c r="BK418" s="33"/>
      <c r="BL418" s="33" t="n">
        <v>90</v>
      </c>
      <c r="BW418" s="33" t="n">
        <v>12</v>
      </c>
      <c r="BX418" s="9" t="s">
        <v>829</v>
      </c>
    </row>
    <row r="419" customFormat="false" ht="15" hidden="false" customHeight="false" outlineLevel="0" collapsed="false">
      <c r="A419" s="36"/>
      <c r="C419" s="37" t="s">
        <v>486</v>
      </c>
      <c r="D419" s="37"/>
      <c r="F419" s="38" t="n">
        <v>80</v>
      </c>
      <c r="K419" s="39"/>
    </row>
    <row r="420" customFormat="false" ht="15" hidden="false" customHeight="true" outlineLevel="0" collapsed="false">
      <c r="A420" s="27"/>
      <c r="B420" s="28" t="s">
        <v>532</v>
      </c>
      <c r="C420" s="29" t="s">
        <v>833</v>
      </c>
      <c r="D420" s="29"/>
      <c r="E420" s="30" t="s">
        <v>4</v>
      </c>
      <c r="F420" s="30" t="s">
        <v>4</v>
      </c>
      <c r="G420" s="30" t="s">
        <v>4</v>
      </c>
      <c r="H420" s="2" t="n">
        <f aca="false">SUM(H421:H421)</f>
        <v>0</v>
      </c>
      <c r="I420" s="2" t="n">
        <f aca="false">SUM(I421:I421)</f>
        <v>0</v>
      </c>
      <c r="J420" s="2" t="n">
        <f aca="false">SUM(J421:J421)</f>
        <v>0</v>
      </c>
      <c r="K420" s="31"/>
      <c r="AI420" s="18"/>
      <c r="AS420" s="2" t="n">
        <f aca="false">SUM(AJ421:AJ421)</f>
        <v>0</v>
      </c>
      <c r="AT420" s="2" t="n">
        <f aca="false">SUM(AK421:AK421)</f>
        <v>0</v>
      </c>
      <c r="AU420" s="2" t="n">
        <f aca="false">SUM(AL421:AL421)</f>
        <v>0</v>
      </c>
    </row>
    <row r="421" customFormat="false" ht="15" hidden="false" customHeight="true" outlineLevel="0" collapsed="false">
      <c r="A421" s="32" t="s">
        <v>834</v>
      </c>
      <c r="B421" s="10" t="s">
        <v>835</v>
      </c>
      <c r="C421" s="9" t="s">
        <v>836</v>
      </c>
      <c r="D421" s="9"/>
      <c r="E421" s="10" t="s">
        <v>91</v>
      </c>
      <c r="F421" s="33" t="n">
        <v>7</v>
      </c>
      <c r="G421" s="33" t="n">
        <v>0</v>
      </c>
      <c r="H421" s="33" t="n">
        <f aca="false">F421*AO421</f>
        <v>0</v>
      </c>
      <c r="I421" s="33" t="n">
        <f aca="false">F421*AP421</f>
        <v>0</v>
      </c>
      <c r="J421" s="33" t="n">
        <f aca="false">F421*G421</f>
        <v>0</v>
      </c>
      <c r="K421" s="34" t="s">
        <v>84</v>
      </c>
      <c r="Z421" s="33" t="n">
        <f aca="false">IF(AQ421="5",BJ421,0)</f>
        <v>0</v>
      </c>
      <c r="AB421" s="33" t="n">
        <f aca="false">IF(AQ421="1",BH421,0)</f>
        <v>0</v>
      </c>
      <c r="AC421" s="33" t="n">
        <f aca="false">IF(AQ421="1",BI421,0)</f>
        <v>0</v>
      </c>
      <c r="AD421" s="33" t="n">
        <f aca="false">IF(AQ421="7",BH421,0)</f>
        <v>0</v>
      </c>
      <c r="AE421" s="33" t="n">
        <f aca="false">IF(AQ421="7",BI421,0)</f>
        <v>0</v>
      </c>
      <c r="AF421" s="33" t="n">
        <f aca="false">IF(AQ421="2",BH421,0)</f>
        <v>0</v>
      </c>
      <c r="AG421" s="33" t="n">
        <f aca="false">IF(AQ421="2",BI421,0)</f>
        <v>0</v>
      </c>
      <c r="AH421" s="33" t="n">
        <f aca="false">IF(AQ421="0",BJ421,0)</f>
        <v>0</v>
      </c>
      <c r="AI421" s="18"/>
      <c r="AJ421" s="33" t="n">
        <f aca="false">IF(AN421=0,J421,0)</f>
        <v>0</v>
      </c>
      <c r="AK421" s="33" t="n">
        <f aca="false">IF(AN421=12,J421,0)</f>
        <v>0</v>
      </c>
      <c r="AL421" s="33" t="n">
        <f aca="false">IF(AN421=21,J421,0)</f>
        <v>0</v>
      </c>
      <c r="AN421" s="33" t="n">
        <v>12</v>
      </c>
      <c r="AO421" s="33" t="n">
        <f aca="false">G421*0.78619883</f>
        <v>0</v>
      </c>
      <c r="AP421" s="33" t="n">
        <f aca="false">G421*(1-0.78619883)</f>
        <v>0</v>
      </c>
      <c r="AQ421" s="35" t="s">
        <v>51</v>
      </c>
      <c r="AV421" s="33" t="n">
        <f aca="false">AW421+AX421</f>
        <v>0</v>
      </c>
      <c r="AW421" s="33" t="n">
        <f aca="false">F421*AO421</f>
        <v>0</v>
      </c>
      <c r="AX421" s="33" t="n">
        <f aca="false">F421*AP421</f>
        <v>0</v>
      </c>
      <c r="AY421" s="35" t="s">
        <v>837</v>
      </c>
      <c r="AZ421" s="35" t="s">
        <v>832</v>
      </c>
      <c r="BA421" s="18" t="s">
        <v>57</v>
      </c>
      <c r="BC421" s="33" t="n">
        <f aca="false">AW421+AX421</f>
        <v>0</v>
      </c>
      <c r="BD421" s="33" t="n">
        <f aca="false">G421/(100-BE421)*100</f>
        <v>0</v>
      </c>
      <c r="BE421" s="33" t="n">
        <v>0</v>
      </c>
      <c r="BF421" s="33" t="n">
        <f aca="false">428</f>
        <v>428</v>
      </c>
      <c r="BH421" s="33" t="n">
        <f aca="false">F421*AO421</f>
        <v>0</v>
      </c>
      <c r="BI421" s="33" t="n">
        <f aca="false">F421*AP421</f>
        <v>0</v>
      </c>
      <c r="BJ421" s="33" t="n">
        <f aca="false">F421*G421</f>
        <v>0</v>
      </c>
      <c r="BK421" s="33"/>
      <c r="BL421" s="33" t="n">
        <v>91</v>
      </c>
      <c r="BW421" s="33" t="n">
        <v>12</v>
      </c>
      <c r="BX421" s="9" t="s">
        <v>836</v>
      </c>
    </row>
    <row r="422" customFormat="false" ht="15" hidden="false" customHeight="false" outlineLevel="0" collapsed="false">
      <c r="A422" s="36"/>
      <c r="C422" s="37" t="s">
        <v>92</v>
      </c>
      <c r="D422" s="37" t="s">
        <v>838</v>
      </c>
      <c r="F422" s="38" t="n">
        <v>7</v>
      </c>
      <c r="K422" s="39"/>
    </row>
    <row r="423" customFormat="false" ht="15" hidden="false" customHeight="true" outlineLevel="0" collapsed="false">
      <c r="A423" s="27"/>
      <c r="B423" s="28" t="s">
        <v>542</v>
      </c>
      <c r="C423" s="29" t="s">
        <v>839</v>
      </c>
      <c r="D423" s="29"/>
      <c r="E423" s="30" t="s">
        <v>4</v>
      </c>
      <c r="F423" s="30" t="s">
        <v>4</v>
      </c>
      <c r="G423" s="30" t="s">
        <v>4</v>
      </c>
      <c r="H423" s="2" t="n">
        <f aca="false">SUM(H424:H439)</f>
        <v>0</v>
      </c>
      <c r="I423" s="2" t="n">
        <f aca="false">SUM(I424:I439)</f>
        <v>0</v>
      </c>
      <c r="J423" s="2" t="n">
        <f aca="false">SUM(J424:J439)</f>
        <v>0</v>
      </c>
      <c r="K423" s="31"/>
      <c r="AI423" s="18"/>
      <c r="AS423" s="2" t="n">
        <f aca="false">SUM(AJ424:AJ439)</f>
        <v>0</v>
      </c>
      <c r="AT423" s="2" t="n">
        <f aca="false">SUM(AK424:AK439)</f>
        <v>0</v>
      </c>
      <c r="AU423" s="2" t="n">
        <f aca="false">SUM(AL424:AL439)</f>
        <v>0</v>
      </c>
    </row>
    <row r="424" customFormat="false" ht="15" hidden="false" customHeight="true" outlineLevel="0" collapsed="false">
      <c r="A424" s="32" t="s">
        <v>840</v>
      </c>
      <c r="B424" s="10" t="s">
        <v>841</v>
      </c>
      <c r="C424" s="9" t="s">
        <v>842</v>
      </c>
      <c r="D424" s="9"/>
      <c r="E424" s="10" t="s">
        <v>83</v>
      </c>
      <c r="F424" s="33" t="n">
        <v>3456</v>
      </c>
      <c r="G424" s="33" t="n">
        <v>0</v>
      </c>
      <c r="H424" s="33" t="n">
        <f aca="false">F424*AO424</f>
        <v>0</v>
      </c>
      <c r="I424" s="33" t="n">
        <f aca="false">F424*AP424</f>
        <v>0</v>
      </c>
      <c r="J424" s="33" t="n">
        <f aca="false">F424*G424</f>
        <v>0</v>
      </c>
      <c r="K424" s="34" t="s">
        <v>55</v>
      </c>
      <c r="Z424" s="33" t="n">
        <f aca="false">IF(AQ424="5",BJ424,0)</f>
        <v>0</v>
      </c>
      <c r="AB424" s="33" t="n">
        <f aca="false">IF(AQ424="1",BH424,0)</f>
        <v>0</v>
      </c>
      <c r="AC424" s="33" t="n">
        <f aca="false">IF(AQ424="1",BI424,0)</f>
        <v>0</v>
      </c>
      <c r="AD424" s="33" t="n">
        <f aca="false">IF(AQ424="7",BH424,0)</f>
        <v>0</v>
      </c>
      <c r="AE424" s="33" t="n">
        <f aca="false">IF(AQ424="7",BI424,0)</f>
        <v>0</v>
      </c>
      <c r="AF424" s="33" t="n">
        <f aca="false">IF(AQ424="2",BH424,0)</f>
        <v>0</v>
      </c>
      <c r="AG424" s="33" t="n">
        <f aca="false">IF(AQ424="2",BI424,0)</f>
        <v>0</v>
      </c>
      <c r="AH424" s="33" t="n">
        <f aca="false">IF(AQ424="0",BJ424,0)</f>
        <v>0</v>
      </c>
      <c r="AI424" s="18"/>
      <c r="AJ424" s="33" t="n">
        <f aca="false">IF(AN424=0,J424,0)</f>
        <v>0</v>
      </c>
      <c r="AK424" s="33" t="n">
        <f aca="false">IF(AN424=12,J424,0)</f>
        <v>0</v>
      </c>
      <c r="AL424" s="33" t="n">
        <f aca="false">IF(AN424=21,J424,0)</f>
        <v>0</v>
      </c>
      <c r="AN424" s="33" t="n">
        <v>12</v>
      </c>
      <c r="AO424" s="33" t="n">
        <f aca="false">G424*0.00013719</f>
        <v>0</v>
      </c>
      <c r="AP424" s="33" t="n">
        <f aca="false">G424*(1-0.00013719)</f>
        <v>0</v>
      </c>
      <c r="AQ424" s="35" t="s">
        <v>51</v>
      </c>
      <c r="AV424" s="33" t="n">
        <f aca="false">AW424+AX424</f>
        <v>0</v>
      </c>
      <c r="AW424" s="33" t="n">
        <f aca="false">F424*AO424</f>
        <v>0</v>
      </c>
      <c r="AX424" s="33" t="n">
        <f aca="false">F424*AP424</f>
        <v>0</v>
      </c>
      <c r="AY424" s="35" t="s">
        <v>843</v>
      </c>
      <c r="AZ424" s="35" t="s">
        <v>832</v>
      </c>
      <c r="BA424" s="18" t="s">
        <v>57</v>
      </c>
      <c r="BC424" s="33" t="n">
        <f aca="false">AW424+AX424</f>
        <v>0</v>
      </c>
      <c r="BD424" s="33" t="n">
        <f aca="false">G424/(100-BE424)*100</f>
        <v>0</v>
      </c>
      <c r="BE424" s="33" t="n">
        <v>0</v>
      </c>
      <c r="BF424" s="33" t="n">
        <f aca="false">431</f>
        <v>431</v>
      </c>
      <c r="BH424" s="33" t="n">
        <f aca="false">F424*AO424</f>
        <v>0</v>
      </c>
      <c r="BI424" s="33" t="n">
        <f aca="false">F424*AP424</f>
        <v>0</v>
      </c>
      <c r="BJ424" s="33" t="n">
        <f aca="false">F424*G424</f>
        <v>0</v>
      </c>
      <c r="BK424" s="33"/>
      <c r="BL424" s="33" t="n">
        <v>94</v>
      </c>
      <c r="BW424" s="33" t="n">
        <v>12</v>
      </c>
      <c r="BX424" s="9" t="s">
        <v>842</v>
      </c>
    </row>
    <row r="425" customFormat="false" ht="15" hidden="false" customHeight="false" outlineLevel="0" collapsed="false">
      <c r="A425" s="36"/>
      <c r="C425" s="37" t="s">
        <v>844</v>
      </c>
      <c r="D425" s="37"/>
      <c r="F425" s="38" t="n">
        <v>2268</v>
      </c>
      <c r="K425" s="39"/>
    </row>
    <row r="426" customFormat="false" ht="15" hidden="false" customHeight="false" outlineLevel="0" collapsed="false">
      <c r="A426" s="36"/>
      <c r="C426" s="37" t="s">
        <v>845</v>
      </c>
      <c r="D426" s="37"/>
      <c r="F426" s="38" t="n">
        <v>1188</v>
      </c>
      <c r="K426" s="39"/>
    </row>
    <row r="427" customFormat="false" ht="15" hidden="false" customHeight="true" outlineLevel="0" collapsed="false">
      <c r="A427" s="32" t="s">
        <v>846</v>
      </c>
      <c r="B427" s="10" t="s">
        <v>847</v>
      </c>
      <c r="C427" s="9" t="s">
        <v>848</v>
      </c>
      <c r="D427" s="9"/>
      <c r="E427" s="10" t="s">
        <v>83</v>
      </c>
      <c r="F427" s="33" t="n">
        <v>17280</v>
      </c>
      <c r="G427" s="33" t="n">
        <v>0</v>
      </c>
      <c r="H427" s="33" t="n">
        <f aca="false">F427*AO427</f>
        <v>0</v>
      </c>
      <c r="I427" s="33" t="n">
        <f aca="false">F427*AP427</f>
        <v>0</v>
      </c>
      <c r="J427" s="33" t="n">
        <f aca="false">F427*G427</f>
        <v>0</v>
      </c>
      <c r="K427" s="34" t="s">
        <v>55</v>
      </c>
      <c r="Z427" s="33" t="n">
        <f aca="false">IF(AQ427="5",BJ427,0)</f>
        <v>0</v>
      </c>
      <c r="AB427" s="33" t="n">
        <f aca="false">IF(AQ427="1",BH427,0)</f>
        <v>0</v>
      </c>
      <c r="AC427" s="33" t="n">
        <f aca="false">IF(AQ427="1",BI427,0)</f>
        <v>0</v>
      </c>
      <c r="AD427" s="33" t="n">
        <f aca="false">IF(AQ427="7",BH427,0)</f>
        <v>0</v>
      </c>
      <c r="AE427" s="33" t="n">
        <f aca="false">IF(AQ427="7",BI427,0)</f>
        <v>0</v>
      </c>
      <c r="AF427" s="33" t="n">
        <f aca="false">IF(AQ427="2",BH427,0)</f>
        <v>0</v>
      </c>
      <c r="AG427" s="33" t="n">
        <f aca="false">IF(AQ427="2",BI427,0)</f>
        <v>0</v>
      </c>
      <c r="AH427" s="33" t="n">
        <f aca="false">IF(AQ427="0",BJ427,0)</f>
        <v>0</v>
      </c>
      <c r="AI427" s="18"/>
      <c r="AJ427" s="33" t="n">
        <f aca="false">IF(AN427=0,J427,0)</f>
        <v>0</v>
      </c>
      <c r="AK427" s="33" t="n">
        <f aca="false">IF(AN427=12,J427,0)</f>
        <v>0</v>
      </c>
      <c r="AL427" s="33" t="n">
        <f aca="false">IF(AN427=21,J427,0)</f>
        <v>0</v>
      </c>
      <c r="AN427" s="33" t="n">
        <v>12</v>
      </c>
      <c r="AO427" s="33" t="n">
        <f aca="false">G427*0.902830189</f>
        <v>0</v>
      </c>
      <c r="AP427" s="33" t="n">
        <f aca="false">G427*(1-0.902830189)</f>
        <v>0</v>
      </c>
      <c r="AQ427" s="35" t="s">
        <v>51</v>
      </c>
      <c r="AV427" s="33" t="n">
        <f aca="false">AW427+AX427</f>
        <v>0</v>
      </c>
      <c r="AW427" s="33" t="n">
        <f aca="false">F427*AO427</f>
        <v>0</v>
      </c>
      <c r="AX427" s="33" t="n">
        <f aca="false">F427*AP427</f>
        <v>0</v>
      </c>
      <c r="AY427" s="35" t="s">
        <v>843</v>
      </c>
      <c r="AZ427" s="35" t="s">
        <v>832</v>
      </c>
      <c r="BA427" s="18" t="s">
        <v>57</v>
      </c>
      <c r="BC427" s="33" t="n">
        <f aca="false">AW427+AX427</f>
        <v>0</v>
      </c>
      <c r="BD427" s="33" t="n">
        <f aca="false">G427/(100-BE427)*100</f>
        <v>0</v>
      </c>
      <c r="BE427" s="33" t="n">
        <v>0</v>
      </c>
      <c r="BF427" s="33" t="n">
        <f aca="false">434</f>
        <v>434</v>
      </c>
      <c r="BH427" s="33" t="n">
        <f aca="false">F427*AO427</f>
        <v>0</v>
      </c>
      <c r="BI427" s="33" t="n">
        <f aca="false">F427*AP427</f>
        <v>0</v>
      </c>
      <c r="BJ427" s="33" t="n">
        <f aca="false">F427*G427</f>
        <v>0</v>
      </c>
      <c r="BK427" s="33"/>
      <c r="BL427" s="33" t="n">
        <v>94</v>
      </c>
      <c r="BW427" s="33" t="n">
        <v>12</v>
      </c>
      <c r="BX427" s="9" t="s">
        <v>848</v>
      </c>
    </row>
    <row r="428" customFormat="false" ht="15" hidden="false" customHeight="false" outlineLevel="0" collapsed="false">
      <c r="A428" s="36"/>
      <c r="C428" s="37" t="s">
        <v>849</v>
      </c>
      <c r="D428" s="37"/>
      <c r="F428" s="38" t="n">
        <v>17280</v>
      </c>
      <c r="K428" s="39"/>
    </row>
    <row r="429" customFormat="false" ht="15" hidden="false" customHeight="true" outlineLevel="0" collapsed="false">
      <c r="A429" s="32" t="s">
        <v>850</v>
      </c>
      <c r="B429" s="10" t="s">
        <v>851</v>
      </c>
      <c r="C429" s="9" t="s">
        <v>852</v>
      </c>
      <c r="D429" s="9"/>
      <c r="E429" s="10" t="s">
        <v>83</v>
      </c>
      <c r="F429" s="33" t="n">
        <v>3456</v>
      </c>
      <c r="G429" s="33" t="n">
        <v>0</v>
      </c>
      <c r="H429" s="33" t="n">
        <f aca="false">F429*AO429</f>
        <v>0</v>
      </c>
      <c r="I429" s="33" t="n">
        <f aca="false">F429*AP429</f>
        <v>0</v>
      </c>
      <c r="J429" s="33" t="n">
        <f aca="false">F429*G429</f>
        <v>0</v>
      </c>
      <c r="K429" s="34" t="s">
        <v>55</v>
      </c>
      <c r="Z429" s="33" t="n">
        <f aca="false">IF(AQ429="5",BJ429,0)</f>
        <v>0</v>
      </c>
      <c r="AB429" s="33" t="n">
        <f aca="false">IF(AQ429="1",BH429,0)</f>
        <v>0</v>
      </c>
      <c r="AC429" s="33" t="n">
        <f aca="false">IF(AQ429="1",BI429,0)</f>
        <v>0</v>
      </c>
      <c r="AD429" s="33" t="n">
        <f aca="false">IF(AQ429="7",BH429,0)</f>
        <v>0</v>
      </c>
      <c r="AE429" s="33" t="n">
        <f aca="false">IF(AQ429="7",BI429,0)</f>
        <v>0</v>
      </c>
      <c r="AF429" s="33" t="n">
        <f aca="false">IF(AQ429="2",BH429,0)</f>
        <v>0</v>
      </c>
      <c r="AG429" s="33" t="n">
        <f aca="false">IF(AQ429="2",BI429,0)</f>
        <v>0</v>
      </c>
      <c r="AH429" s="33" t="n">
        <f aca="false">IF(AQ429="0",BJ429,0)</f>
        <v>0</v>
      </c>
      <c r="AI429" s="18"/>
      <c r="AJ429" s="33" t="n">
        <f aca="false">IF(AN429=0,J429,0)</f>
        <v>0</v>
      </c>
      <c r="AK429" s="33" t="n">
        <f aca="false">IF(AN429=12,J429,0)</f>
        <v>0</v>
      </c>
      <c r="AL429" s="33" t="n">
        <f aca="false">IF(AN429=21,J429,0)</f>
        <v>0</v>
      </c>
      <c r="AN429" s="33" t="n">
        <v>12</v>
      </c>
      <c r="AO429" s="33" t="n">
        <f aca="false">G429*0</f>
        <v>0</v>
      </c>
      <c r="AP429" s="33" t="n">
        <f aca="false">G429*(1-0)</f>
        <v>0</v>
      </c>
      <c r="AQ429" s="35" t="s">
        <v>51</v>
      </c>
      <c r="AV429" s="33" t="n">
        <f aca="false">AW429+AX429</f>
        <v>0</v>
      </c>
      <c r="AW429" s="33" t="n">
        <f aca="false">F429*AO429</f>
        <v>0</v>
      </c>
      <c r="AX429" s="33" t="n">
        <f aca="false">F429*AP429</f>
        <v>0</v>
      </c>
      <c r="AY429" s="35" t="s">
        <v>843</v>
      </c>
      <c r="AZ429" s="35" t="s">
        <v>832</v>
      </c>
      <c r="BA429" s="18" t="s">
        <v>57</v>
      </c>
      <c r="BC429" s="33" t="n">
        <f aca="false">AW429+AX429</f>
        <v>0</v>
      </c>
      <c r="BD429" s="33" t="n">
        <f aca="false">G429/(100-BE429)*100</f>
        <v>0</v>
      </c>
      <c r="BE429" s="33" t="n">
        <v>0</v>
      </c>
      <c r="BF429" s="33" t="n">
        <f aca="false">436</f>
        <v>436</v>
      </c>
      <c r="BH429" s="33" t="n">
        <f aca="false">F429*AO429</f>
        <v>0</v>
      </c>
      <c r="BI429" s="33" t="n">
        <f aca="false">F429*AP429</f>
        <v>0</v>
      </c>
      <c r="BJ429" s="33" t="n">
        <f aca="false">F429*G429</f>
        <v>0</v>
      </c>
      <c r="BK429" s="33"/>
      <c r="BL429" s="33" t="n">
        <v>94</v>
      </c>
      <c r="BW429" s="33" t="n">
        <v>12</v>
      </c>
      <c r="BX429" s="9" t="s">
        <v>852</v>
      </c>
    </row>
    <row r="430" customFormat="false" ht="15" hidden="false" customHeight="false" outlineLevel="0" collapsed="false">
      <c r="A430" s="36"/>
      <c r="C430" s="37" t="s">
        <v>853</v>
      </c>
      <c r="D430" s="37"/>
      <c r="F430" s="38" t="n">
        <v>3456</v>
      </c>
      <c r="K430" s="39"/>
    </row>
    <row r="431" customFormat="false" ht="15" hidden="false" customHeight="true" outlineLevel="0" collapsed="false">
      <c r="A431" s="32" t="s">
        <v>854</v>
      </c>
      <c r="B431" s="10" t="s">
        <v>855</v>
      </c>
      <c r="C431" s="9" t="s">
        <v>856</v>
      </c>
      <c r="D431" s="9"/>
      <c r="E431" s="10" t="s">
        <v>83</v>
      </c>
      <c r="F431" s="33" t="n">
        <v>3456</v>
      </c>
      <c r="G431" s="33" t="n">
        <v>0</v>
      </c>
      <c r="H431" s="33" t="n">
        <f aca="false">F431*AO431</f>
        <v>0</v>
      </c>
      <c r="I431" s="33" t="n">
        <f aca="false">F431*AP431</f>
        <v>0</v>
      </c>
      <c r="J431" s="33" t="n">
        <f aca="false">F431*G431</f>
        <v>0</v>
      </c>
      <c r="K431" s="34" t="s">
        <v>55</v>
      </c>
      <c r="Z431" s="33" t="n">
        <f aca="false">IF(AQ431="5",BJ431,0)</f>
        <v>0</v>
      </c>
      <c r="AB431" s="33" t="n">
        <f aca="false">IF(AQ431="1",BH431,0)</f>
        <v>0</v>
      </c>
      <c r="AC431" s="33" t="n">
        <f aca="false">IF(AQ431="1",BI431,0)</f>
        <v>0</v>
      </c>
      <c r="AD431" s="33" t="n">
        <f aca="false">IF(AQ431="7",BH431,0)</f>
        <v>0</v>
      </c>
      <c r="AE431" s="33" t="n">
        <f aca="false">IF(AQ431="7",BI431,0)</f>
        <v>0</v>
      </c>
      <c r="AF431" s="33" t="n">
        <f aca="false">IF(AQ431="2",BH431,0)</f>
        <v>0</v>
      </c>
      <c r="AG431" s="33" t="n">
        <f aca="false">IF(AQ431="2",BI431,0)</f>
        <v>0</v>
      </c>
      <c r="AH431" s="33" t="n">
        <f aca="false">IF(AQ431="0",BJ431,0)</f>
        <v>0</v>
      </c>
      <c r="AI431" s="18"/>
      <c r="AJ431" s="33" t="n">
        <f aca="false">IF(AN431=0,J431,0)</f>
        <v>0</v>
      </c>
      <c r="AK431" s="33" t="n">
        <f aca="false">IF(AN431=12,J431,0)</f>
        <v>0</v>
      </c>
      <c r="AL431" s="33" t="n">
        <f aca="false">IF(AN431=21,J431,0)</f>
        <v>0</v>
      </c>
      <c r="AN431" s="33" t="n">
        <v>12</v>
      </c>
      <c r="AO431" s="33" t="n">
        <f aca="false">G431*0</f>
        <v>0</v>
      </c>
      <c r="AP431" s="33" t="n">
        <f aca="false">G431*(1-0)</f>
        <v>0</v>
      </c>
      <c r="AQ431" s="35" t="s">
        <v>51</v>
      </c>
      <c r="AV431" s="33" t="n">
        <f aca="false">AW431+AX431</f>
        <v>0</v>
      </c>
      <c r="AW431" s="33" t="n">
        <f aca="false">F431*AO431</f>
        <v>0</v>
      </c>
      <c r="AX431" s="33" t="n">
        <f aca="false">F431*AP431</f>
        <v>0</v>
      </c>
      <c r="AY431" s="35" t="s">
        <v>843</v>
      </c>
      <c r="AZ431" s="35" t="s">
        <v>832</v>
      </c>
      <c r="BA431" s="18" t="s">
        <v>57</v>
      </c>
      <c r="BC431" s="33" t="n">
        <f aca="false">AW431+AX431</f>
        <v>0</v>
      </c>
      <c r="BD431" s="33" t="n">
        <f aca="false">G431/(100-BE431)*100</f>
        <v>0</v>
      </c>
      <c r="BE431" s="33" t="n">
        <v>0</v>
      </c>
      <c r="BF431" s="33" t="n">
        <f aca="false">438</f>
        <v>438</v>
      </c>
      <c r="BH431" s="33" t="n">
        <f aca="false">F431*AO431</f>
        <v>0</v>
      </c>
      <c r="BI431" s="33" t="n">
        <f aca="false">F431*AP431</f>
        <v>0</v>
      </c>
      <c r="BJ431" s="33" t="n">
        <f aca="false">F431*G431</f>
        <v>0</v>
      </c>
      <c r="BK431" s="33"/>
      <c r="BL431" s="33" t="n">
        <v>94</v>
      </c>
      <c r="BW431" s="33" t="n">
        <v>12</v>
      </c>
      <c r="BX431" s="9" t="s">
        <v>856</v>
      </c>
    </row>
    <row r="432" customFormat="false" ht="15" hidden="false" customHeight="false" outlineLevel="0" collapsed="false">
      <c r="A432" s="36"/>
      <c r="C432" s="37" t="s">
        <v>853</v>
      </c>
      <c r="D432" s="37"/>
      <c r="F432" s="38" t="n">
        <v>3456</v>
      </c>
      <c r="K432" s="39"/>
    </row>
    <row r="433" customFormat="false" ht="15" hidden="false" customHeight="true" outlineLevel="0" collapsed="false">
      <c r="A433" s="32" t="s">
        <v>857</v>
      </c>
      <c r="B433" s="10" t="s">
        <v>858</v>
      </c>
      <c r="C433" s="9" t="s">
        <v>859</v>
      </c>
      <c r="D433" s="9"/>
      <c r="E433" s="10" t="s">
        <v>83</v>
      </c>
      <c r="F433" s="33" t="n">
        <v>3456</v>
      </c>
      <c r="G433" s="33" t="n">
        <v>0</v>
      </c>
      <c r="H433" s="33" t="n">
        <f aca="false">F433*AO433</f>
        <v>0</v>
      </c>
      <c r="I433" s="33" t="n">
        <f aca="false">F433*AP433</f>
        <v>0</v>
      </c>
      <c r="J433" s="33" t="n">
        <f aca="false">F433*G433</f>
        <v>0</v>
      </c>
      <c r="K433" s="34" t="s">
        <v>55</v>
      </c>
      <c r="Z433" s="33" t="n">
        <f aca="false">IF(AQ433="5",BJ433,0)</f>
        <v>0</v>
      </c>
      <c r="AB433" s="33" t="n">
        <f aca="false">IF(AQ433="1",BH433,0)</f>
        <v>0</v>
      </c>
      <c r="AC433" s="33" t="n">
        <f aca="false">IF(AQ433="1",BI433,0)</f>
        <v>0</v>
      </c>
      <c r="AD433" s="33" t="n">
        <f aca="false">IF(AQ433="7",BH433,0)</f>
        <v>0</v>
      </c>
      <c r="AE433" s="33" t="n">
        <f aca="false">IF(AQ433="7",BI433,0)</f>
        <v>0</v>
      </c>
      <c r="AF433" s="33" t="n">
        <f aca="false">IF(AQ433="2",BH433,0)</f>
        <v>0</v>
      </c>
      <c r="AG433" s="33" t="n">
        <f aca="false">IF(AQ433="2",BI433,0)</f>
        <v>0</v>
      </c>
      <c r="AH433" s="33" t="n">
        <f aca="false">IF(AQ433="0",BJ433,0)</f>
        <v>0</v>
      </c>
      <c r="AI433" s="18"/>
      <c r="AJ433" s="33" t="n">
        <f aca="false">IF(AN433=0,J433,0)</f>
        <v>0</v>
      </c>
      <c r="AK433" s="33" t="n">
        <f aca="false">IF(AN433=12,J433,0)</f>
        <v>0</v>
      </c>
      <c r="AL433" s="33" t="n">
        <f aca="false">IF(AN433=21,J433,0)</f>
        <v>0</v>
      </c>
      <c r="AN433" s="33" t="n">
        <v>12</v>
      </c>
      <c r="AO433" s="33" t="n">
        <f aca="false">G433*1</f>
        <v>0</v>
      </c>
      <c r="AP433" s="33" t="n">
        <f aca="false">G433*(1-1)</f>
        <v>0</v>
      </c>
      <c r="AQ433" s="35" t="s">
        <v>51</v>
      </c>
      <c r="AV433" s="33" t="n">
        <f aca="false">AW433+AX433</f>
        <v>0</v>
      </c>
      <c r="AW433" s="33" t="n">
        <f aca="false">F433*AO433</f>
        <v>0</v>
      </c>
      <c r="AX433" s="33" t="n">
        <f aca="false">F433*AP433</f>
        <v>0</v>
      </c>
      <c r="AY433" s="35" t="s">
        <v>843</v>
      </c>
      <c r="AZ433" s="35" t="s">
        <v>832</v>
      </c>
      <c r="BA433" s="18" t="s">
        <v>57</v>
      </c>
      <c r="BC433" s="33" t="n">
        <f aca="false">AW433+AX433</f>
        <v>0</v>
      </c>
      <c r="BD433" s="33" t="n">
        <f aca="false">G433/(100-BE433)*100</f>
        <v>0</v>
      </c>
      <c r="BE433" s="33" t="n">
        <v>0</v>
      </c>
      <c r="BF433" s="33" t="n">
        <f aca="false">440</f>
        <v>440</v>
      </c>
      <c r="BH433" s="33" t="n">
        <f aca="false">F433*AO433</f>
        <v>0</v>
      </c>
      <c r="BI433" s="33" t="n">
        <f aca="false">F433*AP433</f>
        <v>0</v>
      </c>
      <c r="BJ433" s="33" t="n">
        <f aca="false">F433*G433</f>
        <v>0</v>
      </c>
      <c r="BK433" s="33"/>
      <c r="BL433" s="33" t="n">
        <v>94</v>
      </c>
      <c r="BW433" s="33" t="n">
        <v>12</v>
      </c>
      <c r="BX433" s="9" t="s">
        <v>859</v>
      </c>
    </row>
    <row r="434" customFormat="false" ht="15" hidden="false" customHeight="false" outlineLevel="0" collapsed="false">
      <c r="A434" s="36"/>
      <c r="C434" s="37" t="s">
        <v>853</v>
      </c>
      <c r="D434" s="37"/>
      <c r="F434" s="38" t="n">
        <v>3456</v>
      </c>
      <c r="K434" s="39"/>
    </row>
    <row r="435" customFormat="false" ht="15" hidden="false" customHeight="true" outlineLevel="0" collapsed="false">
      <c r="A435" s="32" t="s">
        <v>860</v>
      </c>
      <c r="B435" s="10" t="s">
        <v>861</v>
      </c>
      <c r="C435" s="9" t="s">
        <v>862</v>
      </c>
      <c r="D435" s="9"/>
      <c r="E435" s="10" t="s">
        <v>91</v>
      </c>
      <c r="F435" s="33" t="n">
        <v>8</v>
      </c>
      <c r="G435" s="33" t="n">
        <v>0</v>
      </c>
      <c r="H435" s="33" t="n">
        <f aca="false">F435*AO435</f>
        <v>0</v>
      </c>
      <c r="I435" s="33" t="n">
        <f aca="false">F435*AP435</f>
        <v>0</v>
      </c>
      <c r="J435" s="33" t="n">
        <f aca="false">F435*G435</f>
        <v>0</v>
      </c>
      <c r="K435" s="34" t="s">
        <v>55</v>
      </c>
      <c r="Z435" s="33" t="n">
        <f aca="false">IF(AQ435="5",BJ435,0)</f>
        <v>0</v>
      </c>
      <c r="AB435" s="33" t="n">
        <f aca="false">IF(AQ435="1",BH435,0)</f>
        <v>0</v>
      </c>
      <c r="AC435" s="33" t="n">
        <f aca="false">IF(AQ435="1",BI435,0)</f>
        <v>0</v>
      </c>
      <c r="AD435" s="33" t="n">
        <f aca="false">IF(AQ435="7",BH435,0)</f>
        <v>0</v>
      </c>
      <c r="AE435" s="33" t="n">
        <f aca="false">IF(AQ435="7",BI435,0)</f>
        <v>0</v>
      </c>
      <c r="AF435" s="33" t="n">
        <f aca="false">IF(AQ435="2",BH435,0)</f>
        <v>0</v>
      </c>
      <c r="AG435" s="33" t="n">
        <f aca="false">IF(AQ435="2",BI435,0)</f>
        <v>0</v>
      </c>
      <c r="AH435" s="33" t="n">
        <f aca="false">IF(AQ435="0",BJ435,0)</f>
        <v>0</v>
      </c>
      <c r="AI435" s="18"/>
      <c r="AJ435" s="33" t="n">
        <f aca="false">IF(AN435=0,J435,0)</f>
        <v>0</v>
      </c>
      <c r="AK435" s="33" t="n">
        <f aca="false">IF(AN435=12,J435,0)</f>
        <v>0</v>
      </c>
      <c r="AL435" s="33" t="n">
        <f aca="false">IF(AN435=21,J435,0)</f>
        <v>0</v>
      </c>
      <c r="AN435" s="33" t="n">
        <v>12</v>
      </c>
      <c r="AO435" s="33" t="n">
        <f aca="false">G435*0.358333333</f>
        <v>0</v>
      </c>
      <c r="AP435" s="33" t="n">
        <f aca="false">G435*(1-0.358333333)</f>
        <v>0</v>
      </c>
      <c r="AQ435" s="35" t="s">
        <v>51</v>
      </c>
      <c r="AV435" s="33" t="n">
        <f aca="false">AW435+AX435</f>
        <v>0</v>
      </c>
      <c r="AW435" s="33" t="n">
        <f aca="false">F435*AO435</f>
        <v>0</v>
      </c>
      <c r="AX435" s="33" t="n">
        <f aca="false">F435*AP435</f>
        <v>0</v>
      </c>
      <c r="AY435" s="35" t="s">
        <v>843</v>
      </c>
      <c r="AZ435" s="35" t="s">
        <v>832</v>
      </c>
      <c r="BA435" s="18" t="s">
        <v>57</v>
      </c>
      <c r="BC435" s="33" t="n">
        <f aca="false">AW435+AX435</f>
        <v>0</v>
      </c>
      <c r="BD435" s="33" t="n">
        <f aca="false">G435/(100-BE435)*100</f>
        <v>0</v>
      </c>
      <c r="BE435" s="33" t="n">
        <v>0</v>
      </c>
      <c r="BF435" s="33" t="n">
        <f aca="false">442</f>
        <v>442</v>
      </c>
      <c r="BH435" s="33" t="n">
        <f aca="false">F435*AO435</f>
        <v>0</v>
      </c>
      <c r="BI435" s="33" t="n">
        <f aca="false">F435*AP435</f>
        <v>0</v>
      </c>
      <c r="BJ435" s="33" t="n">
        <f aca="false">F435*G435</f>
        <v>0</v>
      </c>
      <c r="BK435" s="33"/>
      <c r="BL435" s="33" t="n">
        <v>94</v>
      </c>
      <c r="BW435" s="33" t="n">
        <v>12</v>
      </c>
      <c r="BX435" s="9" t="s">
        <v>862</v>
      </c>
    </row>
    <row r="436" customFormat="false" ht="15" hidden="false" customHeight="false" outlineLevel="0" collapsed="false">
      <c r="A436" s="36"/>
      <c r="C436" s="37" t="s">
        <v>88</v>
      </c>
      <c r="D436" s="37"/>
      <c r="F436" s="38" t="n">
        <v>8</v>
      </c>
      <c r="K436" s="39"/>
    </row>
    <row r="437" customFormat="false" ht="15" hidden="false" customHeight="true" outlineLevel="0" collapsed="false">
      <c r="A437" s="32" t="s">
        <v>863</v>
      </c>
      <c r="B437" s="10" t="s">
        <v>864</v>
      </c>
      <c r="C437" s="9" t="s">
        <v>865</v>
      </c>
      <c r="D437" s="9"/>
      <c r="E437" s="10" t="s">
        <v>91</v>
      </c>
      <c r="F437" s="33" t="n">
        <v>8</v>
      </c>
      <c r="G437" s="33" t="n">
        <v>0</v>
      </c>
      <c r="H437" s="33" t="n">
        <f aca="false">F437*AO437</f>
        <v>0</v>
      </c>
      <c r="I437" s="33" t="n">
        <f aca="false">F437*AP437</f>
        <v>0</v>
      </c>
      <c r="J437" s="33" t="n">
        <f aca="false">F437*G437</f>
        <v>0</v>
      </c>
      <c r="K437" s="34" t="s">
        <v>55</v>
      </c>
      <c r="Z437" s="33" t="n">
        <f aca="false">IF(AQ437="5",BJ437,0)</f>
        <v>0</v>
      </c>
      <c r="AB437" s="33" t="n">
        <f aca="false">IF(AQ437="1",BH437,0)</f>
        <v>0</v>
      </c>
      <c r="AC437" s="33" t="n">
        <f aca="false">IF(AQ437="1",BI437,0)</f>
        <v>0</v>
      </c>
      <c r="AD437" s="33" t="n">
        <f aca="false">IF(AQ437="7",BH437,0)</f>
        <v>0</v>
      </c>
      <c r="AE437" s="33" t="n">
        <f aca="false">IF(AQ437="7",BI437,0)</f>
        <v>0</v>
      </c>
      <c r="AF437" s="33" t="n">
        <f aca="false">IF(AQ437="2",BH437,0)</f>
        <v>0</v>
      </c>
      <c r="AG437" s="33" t="n">
        <f aca="false">IF(AQ437="2",BI437,0)</f>
        <v>0</v>
      </c>
      <c r="AH437" s="33" t="n">
        <f aca="false">IF(AQ437="0",BJ437,0)</f>
        <v>0</v>
      </c>
      <c r="AI437" s="18"/>
      <c r="AJ437" s="33" t="n">
        <f aca="false">IF(AN437=0,J437,0)</f>
        <v>0</v>
      </c>
      <c r="AK437" s="33" t="n">
        <f aca="false">IF(AN437=12,J437,0)</f>
        <v>0</v>
      </c>
      <c r="AL437" s="33" t="n">
        <f aca="false">IF(AN437=21,J437,0)</f>
        <v>0</v>
      </c>
      <c r="AN437" s="33" t="n">
        <v>12</v>
      </c>
      <c r="AO437" s="33" t="n">
        <f aca="false">G437*0</f>
        <v>0</v>
      </c>
      <c r="AP437" s="33" t="n">
        <f aca="false">G437*(1-0)</f>
        <v>0</v>
      </c>
      <c r="AQ437" s="35" t="s">
        <v>51</v>
      </c>
      <c r="AV437" s="33" t="n">
        <f aca="false">AW437+AX437</f>
        <v>0</v>
      </c>
      <c r="AW437" s="33" t="n">
        <f aca="false">F437*AO437</f>
        <v>0</v>
      </c>
      <c r="AX437" s="33" t="n">
        <f aca="false">F437*AP437</f>
        <v>0</v>
      </c>
      <c r="AY437" s="35" t="s">
        <v>843</v>
      </c>
      <c r="AZ437" s="35" t="s">
        <v>832</v>
      </c>
      <c r="BA437" s="18" t="s">
        <v>57</v>
      </c>
      <c r="BC437" s="33" t="n">
        <f aca="false">AW437+AX437</f>
        <v>0</v>
      </c>
      <c r="BD437" s="33" t="n">
        <f aca="false">G437/(100-BE437)*100</f>
        <v>0</v>
      </c>
      <c r="BE437" s="33" t="n">
        <v>0</v>
      </c>
      <c r="BF437" s="33" t="n">
        <f aca="false">444</f>
        <v>444</v>
      </c>
      <c r="BH437" s="33" t="n">
        <f aca="false">F437*AO437</f>
        <v>0</v>
      </c>
      <c r="BI437" s="33" t="n">
        <f aca="false">F437*AP437</f>
        <v>0</v>
      </c>
      <c r="BJ437" s="33" t="n">
        <f aca="false">F437*G437</f>
        <v>0</v>
      </c>
      <c r="BK437" s="33"/>
      <c r="BL437" s="33" t="n">
        <v>94</v>
      </c>
      <c r="BW437" s="33" t="n">
        <v>12</v>
      </c>
      <c r="BX437" s="9" t="s">
        <v>865</v>
      </c>
    </row>
    <row r="438" customFormat="false" ht="15" hidden="false" customHeight="false" outlineLevel="0" collapsed="false">
      <c r="A438" s="36"/>
      <c r="C438" s="37" t="s">
        <v>88</v>
      </c>
      <c r="D438" s="37"/>
      <c r="F438" s="38" t="n">
        <v>8</v>
      </c>
      <c r="K438" s="39"/>
    </row>
    <row r="439" customFormat="false" ht="15" hidden="false" customHeight="true" outlineLevel="0" collapsed="false">
      <c r="A439" s="32" t="s">
        <v>866</v>
      </c>
      <c r="B439" s="10" t="s">
        <v>867</v>
      </c>
      <c r="C439" s="9" t="s">
        <v>868</v>
      </c>
      <c r="D439" s="9"/>
      <c r="E439" s="10" t="s">
        <v>172</v>
      </c>
      <c r="F439" s="33" t="n">
        <v>80.576</v>
      </c>
      <c r="G439" s="33" t="n">
        <v>0</v>
      </c>
      <c r="H439" s="33" t="n">
        <f aca="false">F439*AO439</f>
        <v>0</v>
      </c>
      <c r="I439" s="33" t="n">
        <f aca="false">F439*AP439</f>
        <v>0</v>
      </c>
      <c r="J439" s="33" t="n">
        <f aca="false">F439*G439</f>
        <v>0</v>
      </c>
      <c r="K439" s="34" t="s">
        <v>55</v>
      </c>
      <c r="Z439" s="33" t="n">
        <f aca="false">IF(AQ439="5",BJ439,0)</f>
        <v>0</v>
      </c>
      <c r="AB439" s="33" t="n">
        <f aca="false">IF(AQ439="1",BH439,0)</f>
        <v>0</v>
      </c>
      <c r="AC439" s="33" t="n">
        <f aca="false">IF(AQ439="1",BI439,0)</f>
        <v>0</v>
      </c>
      <c r="AD439" s="33" t="n">
        <f aca="false">IF(AQ439="7",BH439,0)</f>
        <v>0</v>
      </c>
      <c r="AE439" s="33" t="n">
        <f aca="false">IF(AQ439="7",BI439,0)</f>
        <v>0</v>
      </c>
      <c r="AF439" s="33" t="n">
        <f aca="false">IF(AQ439="2",BH439,0)</f>
        <v>0</v>
      </c>
      <c r="AG439" s="33" t="n">
        <f aca="false">IF(AQ439="2",BI439,0)</f>
        <v>0</v>
      </c>
      <c r="AH439" s="33" t="n">
        <f aca="false">IF(AQ439="0",BJ439,0)</f>
        <v>0</v>
      </c>
      <c r="AI439" s="18"/>
      <c r="AJ439" s="33" t="n">
        <f aca="false">IF(AN439=0,J439,0)</f>
        <v>0</v>
      </c>
      <c r="AK439" s="33" t="n">
        <f aca="false">IF(AN439=12,J439,0)</f>
        <v>0</v>
      </c>
      <c r="AL439" s="33" t="n">
        <f aca="false">IF(AN439=21,J439,0)</f>
        <v>0</v>
      </c>
      <c r="AN439" s="33" t="n">
        <v>12</v>
      </c>
      <c r="AO439" s="33" t="n">
        <f aca="false">G439*0</f>
        <v>0</v>
      </c>
      <c r="AP439" s="33" t="n">
        <f aca="false">G439*(1-0)</f>
        <v>0</v>
      </c>
      <c r="AQ439" s="35" t="s">
        <v>68</v>
      </c>
      <c r="AV439" s="33" t="n">
        <f aca="false">AW439+AX439</f>
        <v>0</v>
      </c>
      <c r="AW439" s="33" t="n">
        <f aca="false">F439*AO439</f>
        <v>0</v>
      </c>
      <c r="AX439" s="33" t="n">
        <f aca="false">F439*AP439</f>
        <v>0</v>
      </c>
      <c r="AY439" s="35" t="s">
        <v>843</v>
      </c>
      <c r="AZ439" s="35" t="s">
        <v>832</v>
      </c>
      <c r="BA439" s="18" t="s">
        <v>57</v>
      </c>
      <c r="BC439" s="33" t="n">
        <f aca="false">AW439+AX439</f>
        <v>0</v>
      </c>
      <c r="BD439" s="33" t="n">
        <f aca="false">G439/(100-BE439)*100</f>
        <v>0</v>
      </c>
      <c r="BE439" s="33" t="n">
        <v>0</v>
      </c>
      <c r="BF439" s="33" t="n">
        <f aca="false">446</f>
        <v>446</v>
      </c>
      <c r="BH439" s="33" t="n">
        <f aca="false">F439*AO439</f>
        <v>0</v>
      </c>
      <c r="BI439" s="33" t="n">
        <f aca="false">F439*AP439</f>
        <v>0</v>
      </c>
      <c r="BJ439" s="33" t="n">
        <f aca="false">F439*G439</f>
        <v>0</v>
      </c>
      <c r="BK439" s="33"/>
      <c r="BL439" s="33" t="n">
        <v>94</v>
      </c>
      <c r="BW439" s="33" t="n">
        <v>12</v>
      </c>
      <c r="BX439" s="9" t="s">
        <v>868</v>
      </c>
    </row>
    <row r="440" customFormat="false" ht="15" hidden="false" customHeight="false" outlineLevel="0" collapsed="false">
      <c r="A440" s="36"/>
      <c r="C440" s="37" t="s">
        <v>869</v>
      </c>
      <c r="D440" s="37"/>
      <c r="F440" s="38" t="n">
        <v>80.576</v>
      </c>
      <c r="K440" s="39"/>
    </row>
    <row r="441" customFormat="false" ht="15" hidden="false" customHeight="true" outlineLevel="0" collapsed="false">
      <c r="A441" s="27"/>
      <c r="B441" s="28" t="s">
        <v>546</v>
      </c>
      <c r="C441" s="29" t="s">
        <v>870</v>
      </c>
      <c r="D441" s="29"/>
      <c r="E441" s="30" t="s">
        <v>4</v>
      </c>
      <c r="F441" s="30" t="s">
        <v>4</v>
      </c>
      <c r="G441" s="30" t="s">
        <v>4</v>
      </c>
      <c r="H441" s="2" t="n">
        <f aca="false">SUM(H442:H450)</f>
        <v>0</v>
      </c>
      <c r="I441" s="2" t="n">
        <f aca="false">SUM(I442:I450)</f>
        <v>0</v>
      </c>
      <c r="J441" s="2" t="n">
        <f aca="false">SUM(J442:J450)</f>
        <v>0</v>
      </c>
      <c r="K441" s="31"/>
      <c r="AI441" s="18"/>
      <c r="AS441" s="2" t="n">
        <f aca="false">SUM(AJ442:AJ450)</f>
        <v>0</v>
      </c>
      <c r="AT441" s="2" t="n">
        <f aca="false">SUM(AK442:AK450)</f>
        <v>0</v>
      </c>
      <c r="AU441" s="2" t="n">
        <f aca="false">SUM(AL442:AL450)</f>
        <v>0</v>
      </c>
    </row>
    <row r="442" customFormat="false" ht="15" hidden="false" customHeight="true" outlineLevel="0" collapsed="false">
      <c r="A442" s="32" t="s">
        <v>871</v>
      </c>
      <c r="B442" s="10" t="s">
        <v>872</v>
      </c>
      <c r="C442" s="9" t="s">
        <v>873</v>
      </c>
      <c r="D442" s="9"/>
      <c r="E442" s="10" t="s">
        <v>163</v>
      </c>
      <c r="F442" s="33" t="n">
        <v>48</v>
      </c>
      <c r="G442" s="33" t="n">
        <v>0</v>
      </c>
      <c r="H442" s="33" t="n">
        <f aca="false">F442*AO442</f>
        <v>0</v>
      </c>
      <c r="I442" s="33" t="n">
        <f aca="false">F442*AP442</f>
        <v>0</v>
      </c>
      <c r="J442" s="33" t="n">
        <f aca="false">F442*G442</f>
        <v>0</v>
      </c>
      <c r="K442" s="34" t="s">
        <v>55</v>
      </c>
      <c r="Z442" s="33" t="n">
        <f aca="false">IF(AQ442="5",BJ442,0)</f>
        <v>0</v>
      </c>
      <c r="AB442" s="33" t="n">
        <f aca="false">IF(AQ442="1",BH442,0)</f>
        <v>0</v>
      </c>
      <c r="AC442" s="33" t="n">
        <f aca="false">IF(AQ442="1",BI442,0)</f>
        <v>0</v>
      </c>
      <c r="AD442" s="33" t="n">
        <f aca="false">IF(AQ442="7",BH442,0)</f>
        <v>0</v>
      </c>
      <c r="AE442" s="33" t="n">
        <f aca="false">IF(AQ442="7",BI442,0)</f>
        <v>0</v>
      </c>
      <c r="AF442" s="33" t="n">
        <f aca="false">IF(AQ442="2",BH442,0)</f>
        <v>0</v>
      </c>
      <c r="AG442" s="33" t="n">
        <f aca="false">IF(AQ442="2",BI442,0)</f>
        <v>0</v>
      </c>
      <c r="AH442" s="33" t="n">
        <f aca="false">IF(AQ442="0",BJ442,0)</f>
        <v>0</v>
      </c>
      <c r="AI442" s="18"/>
      <c r="AJ442" s="33" t="n">
        <f aca="false">IF(AN442=0,J442,0)</f>
        <v>0</v>
      </c>
      <c r="AK442" s="33" t="n">
        <f aca="false">IF(AN442=12,J442,0)</f>
        <v>0</v>
      </c>
      <c r="AL442" s="33" t="n">
        <f aca="false">IF(AN442=21,J442,0)</f>
        <v>0</v>
      </c>
      <c r="AN442" s="33" t="n">
        <v>12</v>
      </c>
      <c r="AO442" s="33" t="n">
        <f aca="false">G442*0.05174</f>
        <v>0</v>
      </c>
      <c r="AP442" s="33" t="n">
        <f aca="false">G442*(1-0.05174)</f>
        <v>0</v>
      </c>
      <c r="AQ442" s="35" t="s">
        <v>51</v>
      </c>
      <c r="AV442" s="33" t="n">
        <f aca="false">AW442+AX442</f>
        <v>0</v>
      </c>
      <c r="AW442" s="33" t="n">
        <f aca="false">F442*AO442</f>
        <v>0</v>
      </c>
      <c r="AX442" s="33" t="n">
        <f aca="false">F442*AP442</f>
        <v>0</v>
      </c>
      <c r="AY442" s="35" t="s">
        <v>874</v>
      </c>
      <c r="AZ442" s="35" t="s">
        <v>832</v>
      </c>
      <c r="BA442" s="18" t="s">
        <v>57</v>
      </c>
      <c r="BC442" s="33" t="n">
        <f aca="false">AW442+AX442</f>
        <v>0</v>
      </c>
      <c r="BD442" s="33" t="n">
        <f aca="false">G442/(100-BE442)*100</f>
        <v>0</v>
      </c>
      <c r="BE442" s="33" t="n">
        <v>0</v>
      </c>
      <c r="BF442" s="33" t="n">
        <f aca="false">449</f>
        <v>449</v>
      </c>
      <c r="BH442" s="33" t="n">
        <f aca="false">F442*AO442</f>
        <v>0</v>
      </c>
      <c r="BI442" s="33" t="n">
        <f aca="false">F442*AP442</f>
        <v>0</v>
      </c>
      <c r="BJ442" s="33" t="n">
        <f aca="false">F442*G442</f>
        <v>0</v>
      </c>
      <c r="BK442" s="33"/>
      <c r="BL442" s="33" t="n">
        <v>95</v>
      </c>
      <c r="BW442" s="33" t="n">
        <v>12</v>
      </c>
      <c r="BX442" s="9" t="s">
        <v>873</v>
      </c>
    </row>
    <row r="443" customFormat="false" ht="23.85" hidden="false" customHeight="false" outlineLevel="0" collapsed="false">
      <c r="A443" s="36"/>
      <c r="C443" s="37" t="s">
        <v>332</v>
      </c>
      <c r="D443" s="40" t="s">
        <v>875</v>
      </c>
      <c r="F443" s="38" t="n">
        <v>48</v>
      </c>
      <c r="K443" s="39"/>
    </row>
    <row r="444" customFormat="false" ht="15" hidden="false" customHeight="true" outlineLevel="0" collapsed="false">
      <c r="A444" s="32" t="s">
        <v>876</v>
      </c>
      <c r="B444" s="10" t="s">
        <v>877</v>
      </c>
      <c r="C444" s="9" t="s">
        <v>878</v>
      </c>
      <c r="D444" s="9"/>
      <c r="E444" s="10" t="s">
        <v>163</v>
      </c>
      <c r="F444" s="33" t="n">
        <v>2</v>
      </c>
      <c r="G444" s="33" t="n">
        <v>0</v>
      </c>
      <c r="H444" s="33" t="n">
        <f aca="false">F444*AO444</f>
        <v>0</v>
      </c>
      <c r="I444" s="33" t="n">
        <f aca="false">F444*AP444</f>
        <v>0</v>
      </c>
      <c r="J444" s="33" t="n">
        <f aca="false">F444*G444</f>
        <v>0</v>
      </c>
      <c r="K444" s="34" t="s">
        <v>55</v>
      </c>
      <c r="Z444" s="33" t="n">
        <f aca="false">IF(AQ444="5",BJ444,0)</f>
        <v>0</v>
      </c>
      <c r="AB444" s="33" t="n">
        <f aca="false">IF(AQ444="1",BH444,0)</f>
        <v>0</v>
      </c>
      <c r="AC444" s="33" t="n">
        <f aca="false">IF(AQ444="1",BI444,0)</f>
        <v>0</v>
      </c>
      <c r="AD444" s="33" t="n">
        <f aca="false">IF(AQ444="7",BH444,0)</f>
        <v>0</v>
      </c>
      <c r="AE444" s="33" t="n">
        <f aca="false">IF(AQ444="7",BI444,0)</f>
        <v>0</v>
      </c>
      <c r="AF444" s="33" t="n">
        <f aca="false">IF(AQ444="2",BH444,0)</f>
        <v>0</v>
      </c>
      <c r="AG444" s="33" t="n">
        <f aca="false">IF(AQ444="2",BI444,0)</f>
        <v>0</v>
      </c>
      <c r="AH444" s="33" t="n">
        <f aca="false">IF(AQ444="0",BJ444,0)</f>
        <v>0</v>
      </c>
      <c r="AI444" s="18"/>
      <c r="AJ444" s="33" t="n">
        <f aca="false">IF(AN444=0,J444,0)</f>
        <v>0</v>
      </c>
      <c r="AK444" s="33" t="n">
        <f aca="false">IF(AN444=12,J444,0)</f>
        <v>0</v>
      </c>
      <c r="AL444" s="33" t="n">
        <f aca="false">IF(AN444=21,J444,0)</f>
        <v>0</v>
      </c>
      <c r="AN444" s="33" t="n">
        <v>12</v>
      </c>
      <c r="AO444" s="33" t="n">
        <f aca="false">G444*0.751786364</f>
        <v>0</v>
      </c>
      <c r="AP444" s="33" t="n">
        <f aca="false">G444*(1-0.751786364)</f>
        <v>0</v>
      </c>
      <c r="AQ444" s="35" t="s">
        <v>51</v>
      </c>
      <c r="AV444" s="33" t="n">
        <f aca="false">AW444+AX444</f>
        <v>0</v>
      </c>
      <c r="AW444" s="33" t="n">
        <f aca="false">F444*AO444</f>
        <v>0</v>
      </c>
      <c r="AX444" s="33" t="n">
        <f aca="false">F444*AP444</f>
        <v>0</v>
      </c>
      <c r="AY444" s="35" t="s">
        <v>874</v>
      </c>
      <c r="AZ444" s="35" t="s">
        <v>832</v>
      </c>
      <c r="BA444" s="18" t="s">
        <v>57</v>
      </c>
      <c r="BC444" s="33" t="n">
        <f aca="false">AW444+AX444</f>
        <v>0</v>
      </c>
      <c r="BD444" s="33" t="n">
        <f aca="false">G444/(100-BE444)*100</f>
        <v>0</v>
      </c>
      <c r="BE444" s="33" t="n">
        <v>0</v>
      </c>
      <c r="BF444" s="33" t="n">
        <f aca="false">452</f>
        <v>452</v>
      </c>
      <c r="BH444" s="33" t="n">
        <f aca="false">F444*AO444</f>
        <v>0</v>
      </c>
      <c r="BI444" s="33" t="n">
        <f aca="false">F444*AP444</f>
        <v>0</v>
      </c>
      <c r="BJ444" s="33" t="n">
        <f aca="false">F444*G444</f>
        <v>0</v>
      </c>
      <c r="BK444" s="33"/>
      <c r="BL444" s="33" t="n">
        <v>95</v>
      </c>
      <c r="BW444" s="33" t="n">
        <v>12</v>
      </c>
      <c r="BX444" s="9" t="s">
        <v>878</v>
      </c>
    </row>
    <row r="445" customFormat="false" ht="15" hidden="false" customHeight="false" outlineLevel="0" collapsed="false">
      <c r="A445" s="36"/>
      <c r="C445" s="37" t="s">
        <v>58</v>
      </c>
      <c r="D445" s="37"/>
      <c r="F445" s="38" t="n">
        <v>2</v>
      </c>
      <c r="K445" s="39"/>
    </row>
    <row r="446" customFormat="false" ht="15" hidden="false" customHeight="true" outlineLevel="0" collapsed="false">
      <c r="A446" s="32" t="s">
        <v>879</v>
      </c>
      <c r="B446" s="10" t="s">
        <v>880</v>
      </c>
      <c r="C446" s="9" t="s">
        <v>881</v>
      </c>
      <c r="D446" s="9"/>
      <c r="E446" s="10" t="s">
        <v>163</v>
      </c>
      <c r="F446" s="33" t="n">
        <v>60</v>
      </c>
      <c r="G446" s="33" t="n">
        <v>0</v>
      </c>
      <c r="H446" s="33" t="n">
        <f aca="false">F446*AO446</f>
        <v>0</v>
      </c>
      <c r="I446" s="33" t="n">
        <f aca="false">F446*AP446</f>
        <v>0</v>
      </c>
      <c r="J446" s="33" t="n">
        <f aca="false">F446*G446</f>
        <v>0</v>
      </c>
      <c r="K446" s="34" t="s">
        <v>55</v>
      </c>
      <c r="Z446" s="33" t="n">
        <f aca="false">IF(AQ446="5",BJ446,0)</f>
        <v>0</v>
      </c>
      <c r="AB446" s="33" t="n">
        <f aca="false">IF(AQ446="1",BH446,0)</f>
        <v>0</v>
      </c>
      <c r="AC446" s="33" t="n">
        <f aca="false">IF(AQ446="1",BI446,0)</f>
        <v>0</v>
      </c>
      <c r="AD446" s="33" t="n">
        <f aca="false">IF(AQ446="7",BH446,0)</f>
        <v>0</v>
      </c>
      <c r="AE446" s="33" t="n">
        <f aca="false">IF(AQ446="7",BI446,0)</f>
        <v>0</v>
      </c>
      <c r="AF446" s="33" t="n">
        <f aca="false">IF(AQ446="2",BH446,0)</f>
        <v>0</v>
      </c>
      <c r="AG446" s="33" t="n">
        <f aca="false">IF(AQ446="2",BI446,0)</f>
        <v>0</v>
      </c>
      <c r="AH446" s="33" t="n">
        <f aca="false">IF(AQ446="0",BJ446,0)</f>
        <v>0</v>
      </c>
      <c r="AI446" s="18"/>
      <c r="AJ446" s="33" t="n">
        <f aca="false">IF(AN446=0,J446,0)</f>
        <v>0</v>
      </c>
      <c r="AK446" s="33" t="n">
        <f aca="false">IF(AN446=12,J446,0)</f>
        <v>0</v>
      </c>
      <c r="AL446" s="33" t="n">
        <f aca="false">IF(AN446=21,J446,0)</f>
        <v>0</v>
      </c>
      <c r="AN446" s="33" t="n">
        <v>12</v>
      </c>
      <c r="AO446" s="33" t="n">
        <f aca="false">G446*1</f>
        <v>0</v>
      </c>
      <c r="AP446" s="33" t="n">
        <f aca="false">G446*(1-1)</f>
        <v>0</v>
      </c>
      <c r="AQ446" s="35" t="s">
        <v>51</v>
      </c>
      <c r="AV446" s="33" t="n">
        <f aca="false">AW446+AX446</f>
        <v>0</v>
      </c>
      <c r="AW446" s="33" t="n">
        <f aca="false">F446*AO446</f>
        <v>0</v>
      </c>
      <c r="AX446" s="33" t="n">
        <f aca="false">F446*AP446</f>
        <v>0</v>
      </c>
      <c r="AY446" s="35" t="s">
        <v>874</v>
      </c>
      <c r="AZ446" s="35" t="s">
        <v>832</v>
      </c>
      <c r="BA446" s="18" t="s">
        <v>57</v>
      </c>
      <c r="BC446" s="33" t="n">
        <f aca="false">AW446+AX446</f>
        <v>0</v>
      </c>
      <c r="BD446" s="33" t="n">
        <f aca="false">G446/(100-BE446)*100</f>
        <v>0</v>
      </c>
      <c r="BE446" s="33" t="n">
        <v>0</v>
      </c>
      <c r="BF446" s="33" t="n">
        <f aca="false">454</f>
        <v>454</v>
      </c>
      <c r="BH446" s="33" t="n">
        <f aca="false">F446*AO446</f>
        <v>0</v>
      </c>
      <c r="BI446" s="33" t="n">
        <f aca="false">F446*AP446</f>
        <v>0</v>
      </c>
      <c r="BJ446" s="33" t="n">
        <f aca="false">F446*G446</f>
        <v>0</v>
      </c>
      <c r="BK446" s="33"/>
      <c r="BL446" s="33" t="n">
        <v>95</v>
      </c>
      <c r="BW446" s="33" t="n">
        <v>12</v>
      </c>
      <c r="BX446" s="9" t="s">
        <v>881</v>
      </c>
    </row>
    <row r="447" customFormat="false" ht="15" hidden="false" customHeight="false" outlineLevel="0" collapsed="false">
      <c r="A447" s="36"/>
      <c r="C447" s="37" t="s">
        <v>882</v>
      </c>
      <c r="D447" s="37" t="s">
        <v>883</v>
      </c>
      <c r="F447" s="38" t="n">
        <v>60</v>
      </c>
      <c r="K447" s="39"/>
    </row>
    <row r="448" customFormat="false" ht="15" hidden="false" customHeight="true" outlineLevel="0" collapsed="false">
      <c r="A448" s="32" t="s">
        <v>884</v>
      </c>
      <c r="B448" s="10" t="s">
        <v>885</v>
      </c>
      <c r="C448" s="9" t="s">
        <v>886</v>
      </c>
      <c r="D448" s="9"/>
      <c r="E448" s="10" t="s">
        <v>83</v>
      </c>
      <c r="F448" s="33" t="n">
        <v>386</v>
      </c>
      <c r="G448" s="33" t="n">
        <v>0</v>
      </c>
      <c r="H448" s="33" t="n">
        <f aca="false">F448*AO448</f>
        <v>0</v>
      </c>
      <c r="I448" s="33" t="n">
        <f aca="false">F448*AP448</f>
        <v>0</v>
      </c>
      <c r="J448" s="33" t="n">
        <f aca="false">F448*G448</f>
        <v>0</v>
      </c>
      <c r="K448" s="34" t="s">
        <v>55</v>
      </c>
      <c r="Z448" s="33" t="n">
        <f aca="false">IF(AQ448="5",BJ448,0)</f>
        <v>0</v>
      </c>
      <c r="AB448" s="33" t="n">
        <f aca="false">IF(AQ448="1",BH448,0)</f>
        <v>0</v>
      </c>
      <c r="AC448" s="33" t="n">
        <f aca="false">IF(AQ448="1",BI448,0)</f>
        <v>0</v>
      </c>
      <c r="AD448" s="33" t="n">
        <f aca="false">IF(AQ448="7",BH448,0)</f>
        <v>0</v>
      </c>
      <c r="AE448" s="33" t="n">
        <f aca="false">IF(AQ448="7",BI448,0)</f>
        <v>0</v>
      </c>
      <c r="AF448" s="33" t="n">
        <f aca="false">IF(AQ448="2",BH448,0)</f>
        <v>0</v>
      </c>
      <c r="AG448" s="33" t="n">
        <f aca="false">IF(AQ448="2",BI448,0)</f>
        <v>0</v>
      </c>
      <c r="AH448" s="33" t="n">
        <f aca="false">IF(AQ448="0",BJ448,0)</f>
        <v>0</v>
      </c>
      <c r="AI448" s="18"/>
      <c r="AJ448" s="33" t="n">
        <f aca="false">IF(AN448=0,J448,0)</f>
        <v>0</v>
      </c>
      <c r="AK448" s="33" t="n">
        <f aca="false">IF(AN448=12,J448,0)</f>
        <v>0</v>
      </c>
      <c r="AL448" s="33" t="n">
        <f aca="false">IF(AN448=21,J448,0)</f>
        <v>0</v>
      </c>
      <c r="AN448" s="33" t="n">
        <v>12</v>
      </c>
      <c r="AO448" s="33" t="n">
        <f aca="false">G448*0.010792453</f>
        <v>0</v>
      </c>
      <c r="AP448" s="33" t="n">
        <f aca="false">G448*(1-0.010792453)</f>
        <v>0</v>
      </c>
      <c r="AQ448" s="35" t="s">
        <v>51</v>
      </c>
      <c r="AV448" s="33" t="n">
        <f aca="false">AW448+AX448</f>
        <v>0</v>
      </c>
      <c r="AW448" s="33" t="n">
        <f aca="false">F448*AO448</f>
        <v>0</v>
      </c>
      <c r="AX448" s="33" t="n">
        <f aca="false">F448*AP448</f>
        <v>0</v>
      </c>
      <c r="AY448" s="35" t="s">
        <v>874</v>
      </c>
      <c r="AZ448" s="35" t="s">
        <v>832</v>
      </c>
      <c r="BA448" s="18" t="s">
        <v>57</v>
      </c>
      <c r="BC448" s="33" t="n">
        <f aca="false">AW448+AX448</f>
        <v>0</v>
      </c>
      <c r="BD448" s="33" t="n">
        <f aca="false">G448/(100-BE448)*100</f>
        <v>0</v>
      </c>
      <c r="BE448" s="33" t="n">
        <v>0</v>
      </c>
      <c r="BF448" s="33" t="n">
        <f aca="false">456</f>
        <v>456</v>
      </c>
      <c r="BH448" s="33" t="n">
        <f aca="false">F448*AO448</f>
        <v>0</v>
      </c>
      <c r="BI448" s="33" t="n">
        <f aca="false">F448*AP448</f>
        <v>0</v>
      </c>
      <c r="BJ448" s="33" t="n">
        <f aca="false">F448*G448</f>
        <v>0</v>
      </c>
      <c r="BK448" s="33"/>
      <c r="BL448" s="33" t="n">
        <v>95</v>
      </c>
      <c r="BW448" s="33" t="n">
        <v>12</v>
      </c>
      <c r="BX448" s="9" t="s">
        <v>886</v>
      </c>
    </row>
    <row r="449" customFormat="false" ht="15" hidden="false" customHeight="false" outlineLevel="0" collapsed="false">
      <c r="A449" s="36"/>
      <c r="C449" s="37" t="s">
        <v>887</v>
      </c>
      <c r="D449" s="37"/>
      <c r="F449" s="38" t="n">
        <v>386</v>
      </c>
      <c r="K449" s="39"/>
    </row>
    <row r="450" customFormat="false" ht="15" hidden="false" customHeight="true" outlineLevel="0" collapsed="false">
      <c r="A450" s="32" t="s">
        <v>888</v>
      </c>
      <c r="B450" s="10" t="s">
        <v>889</v>
      </c>
      <c r="C450" s="9" t="s">
        <v>890</v>
      </c>
      <c r="D450" s="9"/>
      <c r="E450" s="10" t="s">
        <v>172</v>
      </c>
      <c r="F450" s="33" t="n">
        <v>11.032</v>
      </c>
      <c r="G450" s="33" t="n">
        <v>0</v>
      </c>
      <c r="H450" s="33" t="n">
        <f aca="false">F450*AO450</f>
        <v>0</v>
      </c>
      <c r="I450" s="33" t="n">
        <f aca="false">F450*AP450</f>
        <v>0</v>
      </c>
      <c r="J450" s="33" t="n">
        <f aca="false">F450*G450</f>
        <v>0</v>
      </c>
      <c r="K450" s="34" t="s">
        <v>55</v>
      </c>
      <c r="Z450" s="33" t="n">
        <f aca="false">IF(AQ450="5",BJ450,0)</f>
        <v>0</v>
      </c>
      <c r="AB450" s="33" t="n">
        <f aca="false">IF(AQ450="1",BH450,0)</f>
        <v>0</v>
      </c>
      <c r="AC450" s="33" t="n">
        <f aca="false">IF(AQ450="1",BI450,0)</f>
        <v>0</v>
      </c>
      <c r="AD450" s="33" t="n">
        <f aca="false">IF(AQ450="7",BH450,0)</f>
        <v>0</v>
      </c>
      <c r="AE450" s="33" t="n">
        <f aca="false">IF(AQ450="7",BI450,0)</f>
        <v>0</v>
      </c>
      <c r="AF450" s="33" t="n">
        <f aca="false">IF(AQ450="2",BH450,0)</f>
        <v>0</v>
      </c>
      <c r="AG450" s="33" t="n">
        <f aca="false">IF(AQ450="2",BI450,0)</f>
        <v>0</v>
      </c>
      <c r="AH450" s="33" t="n">
        <f aca="false">IF(AQ450="0",BJ450,0)</f>
        <v>0</v>
      </c>
      <c r="AI450" s="18"/>
      <c r="AJ450" s="33" t="n">
        <f aca="false">IF(AN450=0,J450,0)</f>
        <v>0</v>
      </c>
      <c r="AK450" s="33" t="n">
        <f aca="false">IF(AN450=12,J450,0)</f>
        <v>0</v>
      </c>
      <c r="AL450" s="33" t="n">
        <f aca="false">IF(AN450=21,J450,0)</f>
        <v>0</v>
      </c>
      <c r="AN450" s="33" t="n">
        <v>12</v>
      </c>
      <c r="AO450" s="33" t="n">
        <f aca="false">G450*0</f>
        <v>0</v>
      </c>
      <c r="AP450" s="33" t="n">
        <f aca="false">G450*(1-0)</f>
        <v>0</v>
      </c>
      <c r="AQ450" s="35" t="s">
        <v>68</v>
      </c>
      <c r="AV450" s="33" t="n">
        <f aca="false">AW450+AX450</f>
        <v>0</v>
      </c>
      <c r="AW450" s="33" t="n">
        <f aca="false">F450*AO450</f>
        <v>0</v>
      </c>
      <c r="AX450" s="33" t="n">
        <f aca="false">F450*AP450</f>
        <v>0</v>
      </c>
      <c r="AY450" s="35" t="s">
        <v>874</v>
      </c>
      <c r="AZ450" s="35" t="s">
        <v>832</v>
      </c>
      <c r="BA450" s="18" t="s">
        <v>57</v>
      </c>
      <c r="BC450" s="33" t="n">
        <f aca="false">AW450+AX450</f>
        <v>0</v>
      </c>
      <c r="BD450" s="33" t="n">
        <f aca="false">G450/(100-BE450)*100</f>
        <v>0</v>
      </c>
      <c r="BE450" s="33" t="n">
        <v>0</v>
      </c>
      <c r="BF450" s="33" t="n">
        <f aca="false">458</f>
        <v>458</v>
      </c>
      <c r="BH450" s="33" t="n">
        <f aca="false">F450*AO450</f>
        <v>0</v>
      </c>
      <c r="BI450" s="33" t="n">
        <f aca="false">F450*AP450</f>
        <v>0</v>
      </c>
      <c r="BJ450" s="33" t="n">
        <f aca="false">F450*G450</f>
        <v>0</v>
      </c>
      <c r="BK450" s="33"/>
      <c r="BL450" s="33" t="n">
        <v>95</v>
      </c>
      <c r="BW450" s="33" t="n">
        <v>12</v>
      </c>
      <c r="BX450" s="9" t="s">
        <v>890</v>
      </c>
    </row>
    <row r="451" customFormat="false" ht="15" hidden="false" customHeight="false" outlineLevel="0" collapsed="false">
      <c r="A451" s="36"/>
      <c r="C451" s="37" t="s">
        <v>891</v>
      </c>
      <c r="D451" s="37"/>
      <c r="F451" s="38" t="n">
        <v>11.032</v>
      </c>
      <c r="K451" s="39"/>
    </row>
    <row r="452" customFormat="false" ht="15" hidden="false" customHeight="true" outlineLevel="0" collapsed="false">
      <c r="A452" s="27"/>
      <c r="B452" s="28" t="s">
        <v>549</v>
      </c>
      <c r="C452" s="29" t="s">
        <v>892</v>
      </c>
      <c r="D452" s="29"/>
      <c r="E452" s="30" t="s">
        <v>4</v>
      </c>
      <c r="F452" s="30" t="s">
        <v>4</v>
      </c>
      <c r="G452" s="30" t="s">
        <v>4</v>
      </c>
      <c r="H452" s="2" t="n">
        <f aca="false">SUM(H453:H455)</f>
        <v>0</v>
      </c>
      <c r="I452" s="2" t="n">
        <f aca="false">SUM(I453:I455)</f>
        <v>0</v>
      </c>
      <c r="J452" s="2" t="n">
        <f aca="false">SUM(J453:J455)</f>
        <v>0</v>
      </c>
      <c r="K452" s="31"/>
      <c r="AI452" s="18"/>
      <c r="AS452" s="2" t="n">
        <f aca="false">SUM(AJ453:AJ455)</f>
        <v>0</v>
      </c>
      <c r="AT452" s="2" t="n">
        <f aca="false">SUM(AK453:AK455)</f>
        <v>0</v>
      </c>
      <c r="AU452" s="2" t="n">
        <f aca="false">SUM(AL453:AL455)</f>
        <v>0</v>
      </c>
    </row>
    <row r="453" customFormat="false" ht="15" hidden="false" customHeight="true" outlineLevel="0" collapsed="false">
      <c r="A453" s="32" t="s">
        <v>893</v>
      </c>
      <c r="B453" s="10" t="s">
        <v>894</v>
      </c>
      <c r="C453" s="9" t="s">
        <v>895</v>
      </c>
      <c r="D453" s="9"/>
      <c r="E453" s="10" t="s">
        <v>83</v>
      </c>
      <c r="F453" s="33" t="n">
        <v>0.72</v>
      </c>
      <c r="G453" s="33" t="n">
        <v>0</v>
      </c>
      <c r="H453" s="33" t="n">
        <f aca="false">F453*AO453</f>
        <v>0</v>
      </c>
      <c r="I453" s="33" t="n">
        <f aca="false">F453*AP453</f>
        <v>0</v>
      </c>
      <c r="J453" s="33" t="n">
        <f aca="false">F453*G453</f>
        <v>0</v>
      </c>
      <c r="K453" s="34" t="s">
        <v>84</v>
      </c>
      <c r="Z453" s="33" t="n">
        <f aca="false">IF(AQ453="5",BJ453,0)</f>
        <v>0</v>
      </c>
      <c r="AB453" s="33" t="n">
        <f aca="false">IF(AQ453="1",BH453,0)</f>
        <v>0</v>
      </c>
      <c r="AC453" s="33" t="n">
        <f aca="false">IF(AQ453="1",BI453,0)</f>
        <v>0</v>
      </c>
      <c r="AD453" s="33" t="n">
        <f aca="false">IF(AQ453="7",BH453,0)</f>
        <v>0</v>
      </c>
      <c r="AE453" s="33" t="n">
        <f aca="false">IF(AQ453="7",BI453,0)</f>
        <v>0</v>
      </c>
      <c r="AF453" s="33" t="n">
        <f aca="false">IF(AQ453="2",BH453,0)</f>
        <v>0</v>
      </c>
      <c r="AG453" s="33" t="n">
        <f aca="false">IF(AQ453="2",BI453,0)</f>
        <v>0</v>
      </c>
      <c r="AH453" s="33" t="n">
        <f aca="false">IF(AQ453="0",BJ453,0)</f>
        <v>0</v>
      </c>
      <c r="AI453" s="18"/>
      <c r="AJ453" s="33" t="n">
        <f aca="false">IF(AN453=0,J453,0)</f>
        <v>0</v>
      </c>
      <c r="AK453" s="33" t="n">
        <f aca="false">IF(AN453=12,J453,0)</f>
        <v>0</v>
      </c>
      <c r="AL453" s="33" t="n">
        <f aca="false">IF(AN453=21,J453,0)</f>
        <v>0</v>
      </c>
      <c r="AN453" s="33" t="n">
        <v>12</v>
      </c>
      <c r="AO453" s="33" t="n">
        <f aca="false">G453*0.073736182</f>
        <v>0</v>
      </c>
      <c r="AP453" s="33" t="n">
        <f aca="false">G453*(1-0.073736182)</f>
        <v>0</v>
      </c>
      <c r="AQ453" s="35" t="s">
        <v>51</v>
      </c>
      <c r="AV453" s="33" t="n">
        <f aca="false">AW453+AX453</f>
        <v>0</v>
      </c>
      <c r="AW453" s="33" t="n">
        <f aca="false">F453*AO453</f>
        <v>0</v>
      </c>
      <c r="AX453" s="33" t="n">
        <f aca="false">F453*AP453</f>
        <v>0</v>
      </c>
      <c r="AY453" s="35" t="s">
        <v>896</v>
      </c>
      <c r="AZ453" s="35" t="s">
        <v>832</v>
      </c>
      <c r="BA453" s="18" t="s">
        <v>57</v>
      </c>
      <c r="BC453" s="33" t="n">
        <f aca="false">AW453+AX453</f>
        <v>0</v>
      </c>
      <c r="BD453" s="33" t="n">
        <f aca="false">G453/(100-BE453)*100</f>
        <v>0</v>
      </c>
      <c r="BE453" s="33" t="n">
        <v>0</v>
      </c>
      <c r="BF453" s="33" t="n">
        <f aca="false">461</f>
        <v>461</v>
      </c>
      <c r="BH453" s="33" t="n">
        <f aca="false">F453*AO453</f>
        <v>0</v>
      </c>
      <c r="BI453" s="33" t="n">
        <f aca="false">F453*AP453</f>
        <v>0</v>
      </c>
      <c r="BJ453" s="33" t="n">
        <f aca="false">F453*G453</f>
        <v>0</v>
      </c>
      <c r="BK453" s="33"/>
      <c r="BL453" s="33" t="n">
        <v>96</v>
      </c>
      <c r="BW453" s="33" t="n">
        <v>12</v>
      </c>
      <c r="BX453" s="9" t="s">
        <v>895</v>
      </c>
    </row>
    <row r="454" customFormat="false" ht="15" hidden="false" customHeight="false" outlineLevel="0" collapsed="false">
      <c r="A454" s="36"/>
      <c r="C454" s="37" t="s">
        <v>897</v>
      </c>
      <c r="D454" s="37"/>
      <c r="F454" s="38" t="n">
        <v>0.72</v>
      </c>
      <c r="K454" s="39"/>
    </row>
    <row r="455" customFormat="false" ht="15" hidden="false" customHeight="true" outlineLevel="0" collapsed="false">
      <c r="A455" s="32" t="s">
        <v>898</v>
      </c>
      <c r="B455" s="10" t="s">
        <v>899</v>
      </c>
      <c r="C455" s="9" t="s">
        <v>900</v>
      </c>
      <c r="D455" s="9"/>
      <c r="E455" s="10" t="s">
        <v>83</v>
      </c>
      <c r="F455" s="33" t="n">
        <v>8.98375</v>
      </c>
      <c r="G455" s="33" t="n">
        <v>0</v>
      </c>
      <c r="H455" s="33" t="n">
        <f aca="false">F455*AO455</f>
        <v>0</v>
      </c>
      <c r="I455" s="33" t="n">
        <f aca="false">F455*AP455</f>
        <v>0</v>
      </c>
      <c r="J455" s="33" t="n">
        <f aca="false">F455*G455</f>
        <v>0</v>
      </c>
      <c r="K455" s="34" t="s">
        <v>84</v>
      </c>
      <c r="Z455" s="33" t="n">
        <f aca="false">IF(AQ455="5",BJ455,0)</f>
        <v>0</v>
      </c>
      <c r="AB455" s="33" t="n">
        <f aca="false">IF(AQ455="1",BH455,0)</f>
        <v>0</v>
      </c>
      <c r="AC455" s="33" t="n">
        <f aca="false">IF(AQ455="1",BI455,0)</f>
        <v>0</v>
      </c>
      <c r="AD455" s="33" t="n">
        <f aca="false">IF(AQ455="7",BH455,0)</f>
        <v>0</v>
      </c>
      <c r="AE455" s="33" t="n">
        <f aca="false">IF(AQ455="7",BI455,0)</f>
        <v>0</v>
      </c>
      <c r="AF455" s="33" t="n">
        <f aca="false">IF(AQ455="2",BH455,0)</f>
        <v>0</v>
      </c>
      <c r="AG455" s="33" t="n">
        <f aca="false">IF(AQ455="2",BI455,0)</f>
        <v>0</v>
      </c>
      <c r="AH455" s="33" t="n">
        <f aca="false">IF(AQ455="0",BJ455,0)</f>
        <v>0</v>
      </c>
      <c r="AI455" s="18"/>
      <c r="AJ455" s="33" t="n">
        <f aca="false">IF(AN455=0,J455,0)</f>
        <v>0</v>
      </c>
      <c r="AK455" s="33" t="n">
        <f aca="false">IF(AN455=12,J455,0)</f>
        <v>0</v>
      </c>
      <c r="AL455" s="33" t="n">
        <f aca="false">IF(AN455=21,J455,0)</f>
        <v>0</v>
      </c>
      <c r="AN455" s="33" t="n">
        <v>12</v>
      </c>
      <c r="AO455" s="33" t="n">
        <f aca="false">G455*0.077200927</f>
        <v>0</v>
      </c>
      <c r="AP455" s="33" t="n">
        <f aca="false">G455*(1-0.077200927)</f>
        <v>0</v>
      </c>
      <c r="AQ455" s="35" t="s">
        <v>51</v>
      </c>
      <c r="AV455" s="33" t="n">
        <f aca="false">AW455+AX455</f>
        <v>0</v>
      </c>
      <c r="AW455" s="33" t="n">
        <f aca="false">F455*AO455</f>
        <v>0</v>
      </c>
      <c r="AX455" s="33" t="n">
        <f aca="false">F455*AP455</f>
        <v>0</v>
      </c>
      <c r="AY455" s="35" t="s">
        <v>896</v>
      </c>
      <c r="AZ455" s="35" t="s">
        <v>832</v>
      </c>
      <c r="BA455" s="18" t="s">
        <v>57</v>
      </c>
      <c r="BC455" s="33" t="n">
        <f aca="false">AW455+AX455</f>
        <v>0</v>
      </c>
      <c r="BD455" s="33" t="n">
        <f aca="false">G455/(100-BE455)*100</f>
        <v>0</v>
      </c>
      <c r="BE455" s="33" t="n">
        <v>0</v>
      </c>
      <c r="BF455" s="33" t="n">
        <f aca="false">463</f>
        <v>463</v>
      </c>
      <c r="BH455" s="33" t="n">
        <f aca="false">F455*AO455</f>
        <v>0</v>
      </c>
      <c r="BI455" s="33" t="n">
        <f aca="false">F455*AP455</f>
        <v>0</v>
      </c>
      <c r="BJ455" s="33" t="n">
        <f aca="false">F455*G455</f>
        <v>0</v>
      </c>
      <c r="BK455" s="33"/>
      <c r="BL455" s="33" t="n">
        <v>96</v>
      </c>
      <c r="BW455" s="33" t="n">
        <v>12</v>
      </c>
      <c r="BX455" s="9" t="s">
        <v>900</v>
      </c>
    </row>
    <row r="456" customFormat="false" ht="15" hidden="false" customHeight="false" outlineLevel="0" collapsed="false">
      <c r="A456" s="36"/>
      <c r="C456" s="37" t="s">
        <v>901</v>
      </c>
      <c r="D456" s="37"/>
      <c r="F456" s="38" t="n">
        <v>2.06625</v>
      </c>
      <c r="K456" s="39"/>
    </row>
    <row r="457" customFormat="false" ht="15" hidden="false" customHeight="false" outlineLevel="0" collapsed="false">
      <c r="A457" s="36"/>
      <c r="C457" s="37" t="s">
        <v>902</v>
      </c>
      <c r="D457" s="37"/>
      <c r="F457" s="38" t="n">
        <v>1.7575</v>
      </c>
      <c r="K457" s="39"/>
    </row>
    <row r="458" customFormat="false" ht="15" hidden="false" customHeight="false" outlineLevel="0" collapsed="false">
      <c r="A458" s="36"/>
      <c r="C458" s="37" t="s">
        <v>903</v>
      </c>
      <c r="D458" s="37"/>
      <c r="F458" s="38" t="n">
        <v>5.16</v>
      </c>
      <c r="K458" s="39"/>
    </row>
    <row r="459" customFormat="false" ht="15" hidden="false" customHeight="true" outlineLevel="0" collapsed="false">
      <c r="A459" s="27"/>
      <c r="B459" s="28" t="s">
        <v>552</v>
      </c>
      <c r="C459" s="29" t="s">
        <v>904</v>
      </c>
      <c r="D459" s="29"/>
      <c r="E459" s="30" t="s">
        <v>4</v>
      </c>
      <c r="F459" s="30" t="s">
        <v>4</v>
      </c>
      <c r="G459" s="30" t="s">
        <v>4</v>
      </c>
      <c r="H459" s="2" t="n">
        <f aca="false">SUM(H460:H460)</f>
        <v>0</v>
      </c>
      <c r="I459" s="2" t="n">
        <f aca="false">SUM(I460:I460)</f>
        <v>0</v>
      </c>
      <c r="J459" s="2" t="n">
        <f aca="false">SUM(J460:J460)</f>
        <v>0</v>
      </c>
      <c r="K459" s="31"/>
      <c r="AI459" s="18"/>
      <c r="AS459" s="2" t="n">
        <f aca="false">SUM(AJ460:AJ460)</f>
        <v>0</v>
      </c>
      <c r="AT459" s="2" t="n">
        <f aca="false">SUM(AK460:AK460)</f>
        <v>0</v>
      </c>
      <c r="AU459" s="2" t="n">
        <f aca="false">SUM(AL460:AL460)</f>
        <v>0</v>
      </c>
    </row>
    <row r="460" customFormat="false" ht="15" hidden="false" customHeight="true" outlineLevel="0" collapsed="false">
      <c r="A460" s="32" t="s">
        <v>905</v>
      </c>
      <c r="B460" s="10" t="s">
        <v>906</v>
      </c>
      <c r="C460" s="9" t="s">
        <v>907</v>
      </c>
      <c r="D460" s="9"/>
      <c r="E460" s="10" t="s">
        <v>91</v>
      </c>
      <c r="F460" s="33" t="n">
        <v>3.36</v>
      </c>
      <c r="G460" s="33" t="n">
        <v>0</v>
      </c>
      <c r="H460" s="33" t="n">
        <f aca="false">F460*AO460</f>
        <v>0</v>
      </c>
      <c r="I460" s="33" t="n">
        <f aca="false">F460*AP460</f>
        <v>0</v>
      </c>
      <c r="J460" s="33" t="n">
        <f aca="false">F460*G460</f>
        <v>0</v>
      </c>
      <c r="K460" s="34" t="s">
        <v>55</v>
      </c>
      <c r="Z460" s="33" t="n">
        <f aca="false">IF(AQ460="5",BJ460,0)</f>
        <v>0</v>
      </c>
      <c r="AB460" s="33" t="n">
        <f aca="false">IF(AQ460="1",BH460,0)</f>
        <v>0</v>
      </c>
      <c r="AC460" s="33" t="n">
        <f aca="false">IF(AQ460="1",BI460,0)</f>
        <v>0</v>
      </c>
      <c r="AD460" s="33" t="n">
        <f aca="false">IF(AQ460="7",BH460,0)</f>
        <v>0</v>
      </c>
      <c r="AE460" s="33" t="n">
        <f aca="false">IF(AQ460="7",BI460,0)</f>
        <v>0</v>
      </c>
      <c r="AF460" s="33" t="n">
        <f aca="false">IF(AQ460="2",BH460,0)</f>
        <v>0</v>
      </c>
      <c r="AG460" s="33" t="n">
        <f aca="false">IF(AQ460="2",BI460,0)</f>
        <v>0</v>
      </c>
      <c r="AH460" s="33" t="n">
        <f aca="false">IF(AQ460="0",BJ460,0)</f>
        <v>0</v>
      </c>
      <c r="AI460" s="18"/>
      <c r="AJ460" s="33" t="n">
        <f aca="false">IF(AN460=0,J460,0)</f>
        <v>0</v>
      </c>
      <c r="AK460" s="33" t="n">
        <f aca="false">IF(AN460=12,J460,0)</f>
        <v>0</v>
      </c>
      <c r="AL460" s="33" t="n">
        <f aca="false">IF(AN460=21,J460,0)</f>
        <v>0</v>
      </c>
      <c r="AN460" s="33" t="n">
        <v>12</v>
      </c>
      <c r="AO460" s="33" t="n">
        <f aca="false">G460*0.344010926</f>
        <v>0</v>
      </c>
      <c r="AP460" s="33" t="n">
        <f aca="false">G460*(1-0.344010926)</f>
        <v>0</v>
      </c>
      <c r="AQ460" s="35" t="s">
        <v>51</v>
      </c>
      <c r="AV460" s="33" t="n">
        <f aca="false">AW460+AX460</f>
        <v>0</v>
      </c>
      <c r="AW460" s="33" t="n">
        <f aca="false">F460*AO460</f>
        <v>0</v>
      </c>
      <c r="AX460" s="33" t="n">
        <f aca="false">F460*AP460</f>
        <v>0</v>
      </c>
      <c r="AY460" s="35" t="s">
        <v>908</v>
      </c>
      <c r="AZ460" s="35" t="s">
        <v>832</v>
      </c>
      <c r="BA460" s="18" t="s">
        <v>57</v>
      </c>
      <c r="BC460" s="33" t="n">
        <f aca="false">AW460+AX460</f>
        <v>0</v>
      </c>
      <c r="BD460" s="33" t="n">
        <f aca="false">G460/(100-BE460)*100</f>
        <v>0</v>
      </c>
      <c r="BE460" s="33" t="n">
        <v>0</v>
      </c>
      <c r="BF460" s="33" t="n">
        <f aca="false">468</f>
        <v>468</v>
      </c>
      <c r="BH460" s="33" t="n">
        <f aca="false">F460*AO460</f>
        <v>0</v>
      </c>
      <c r="BI460" s="33" t="n">
        <f aca="false">F460*AP460</f>
        <v>0</v>
      </c>
      <c r="BJ460" s="33" t="n">
        <f aca="false">F460*G460</f>
        <v>0</v>
      </c>
      <c r="BK460" s="33"/>
      <c r="BL460" s="33" t="n">
        <v>97</v>
      </c>
      <c r="BW460" s="33" t="n">
        <v>12</v>
      </c>
      <c r="BX460" s="9" t="s">
        <v>907</v>
      </c>
    </row>
    <row r="461" customFormat="false" ht="15" hidden="false" customHeight="false" outlineLevel="0" collapsed="false">
      <c r="A461" s="36"/>
      <c r="C461" s="37" t="s">
        <v>909</v>
      </c>
      <c r="D461" s="37" t="s">
        <v>910</v>
      </c>
      <c r="F461" s="38" t="n">
        <v>3.36</v>
      </c>
      <c r="K461" s="39"/>
    </row>
    <row r="462" customFormat="false" ht="15" hidden="false" customHeight="true" outlineLevel="0" collapsed="false">
      <c r="A462" s="27"/>
      <c r="B462" s="28" t="s">
        <v>911</v>
      </c>
      <c r="C462" s="29" t="s">
        <v>912</v>
      </c>
      <c r="D462" s="29"/>
      <c r="E462" s="30" t="s">
        <v>4</v>
      </c>
      <c r="F462" s="30" t="s">
        <v>4</v>
      </c>
      <c r="G462" s="30" t="s">
        <v>4</v>
      </c>
      <c r="H462" s="2" t="n">
        <f aca="false">SUM(H463:H548)</f>
        <v>0</v>
      </c>
      <c r="I462" s="2" t="n">
        <f aca="false">SUM(I463:I548)</f>
        <v>0</v>
      </c>
      <c r="J462" s="2" t="n">
        <f aca="false">SUM(J463:J548)</f>
        <v>0</v>
      </c>
      <c r="K462" s="31"/>
      <c r="AI462" s="18"/>
      <c r="AS462" s="2" t="n">
        <f aca="false">SUM(AJ463:AJ548)</f>
        <v>0</v>
      </c>
      <c r="AT462" s="2" t="n">
        <f aca="false">SUM(AK463:AK548)</f>
        <v>0</v>
      </c>
      <c r="AU462" s="2" t="n">
        <f aca="false">SUM(AL463:AL548)</f>
        <v>0</v>
      </c>
    </row>
    <row r="463" customFormat="false" ht="15" hidden="false" customHeight="true" outlineLevel="0" collapsed="false">
      <c r="A463" s="32" t="s">
        <v>913</v>
      </c>
      <c r="B463" s="10" t="s">
        <v>914</v>
      </c>
      <c r="C463" s="9" t="s">
        <v>915</v>
      </c>
      <c r="D463" s="9"/>
      <c r="E463" s="10" t="s">
        <v>916</v>
      </c>
      <c r="F463" s="33" t="n">
        <v>10</v>
      </c>
      <c r="G463" s="33" t="n">
        <v>0</v>
      </c>
      <c r="H463" s="33" t="n">
        <f aca="false">F463*AO463</f>
        <v>0</v>
      </c>
      <c r="I463" s="33" t="n">
        <f aca="false">F463*AP463</f>
        <v>0</v>
      </c>
      <c r="J463" s="33" t="n">
        <f aca="false">F463*G463</f>
        <v>0</v>
      </c>
      <c r="K463" s="34" t="s">
        <v>55</v>
      </c>
      <c r="Z463" s="33" t="n">
        <f aca="false">IF(AQ463="5",BJ463,0)</f>
        <v>0</v>
      </c>
      <c r="AB463" s="33" t="n">
        <f aca="false">IF(AQ463="1",BH463,0)</f>
        <v>0</v>
      </c>
      <c r="AC463" s="33" t="n">
        <f aca="false">IF(AQ463="1",BI463,0)</f>
        <v>0</v>
      </c>
      <c r="AD463" s="33" t="n">
        <f aca="false">IF(AQ463="7",BH463,0)</f>
        <v>0</v>
      </c>
      <c r="AE463" s="33" t="n">
        <f aca="false">IF(AQ463="7",BI463,0)</f>
        <v>0</v>
      </c>
      <c r="AF463" s="33" t="n">
        <f aca="false">IF(AQ463="2",BH463,0)</f>
        <v>0</v>
      </c>
      <c r="AG463" s="33" t="n">
        <f aca="false">IF(AQ463="2",BI463,0)</f>
        <v>0</v>
      </c>
      <c r="AH463" s="33" t="n">
        <f aca="false">IF(AQ463="0",BJ463,0)</f>
        <v>0</v>
      </c>
      <c r="AI463" s="18"/>
      <c r="AJ463" s="33" t="n">
        <f aca="false">IF(AN463=0,J463,0)</f>
        <v>0</v>
      </c>
      <c r="AK463" s="33" t="n">
        <f aca="false">IF(AN463=12,J463,0)</f>
        <v>0</v>
      </c>
      <c r="AL463" s="33" t="n">
        <f aca="false">IF(AN463=21,J463,0)</f>
        <v>0</v>
      </c>
      <c r="AN463" s="33" t="n">
        <v>12</v>
      </c>
      <c r="AO463" s="33" t="n">
        <f aca="false">G463*0</f>
        <v>0</v>
      </c>
      <c r="AP463" s="33" t="n">
        <f aca="false">G463*(1-0)</f>
        <v>0</v>
      </c>
      <c r="AQ463" s="35" t="s">
        <v>58</v>
      </c>
      <c r="AV463" s="33" t="n">
        <f aca="false">AW463+AX463</f>
        <v>0</v>
      </c>
      <c r="AW463" s="33" t="n">
        <f aca="false">F463*AO463</f>
        <v>0</v>
      </c>
      <c r="AX463" s="33" t="n">
        <f aca="false">F463*AP463</f>
        <v>0</v>
      </c>
      <c r="AY463" s="35" t="s">
        <v>917</v>
      </c>
      <c r="AZ463" s="35" t="s">
        <v>832</v>
      </c>
      <c r="BA463" s="18" t="s">
        <v>57</v>
      </c>
      <c r="BC463" s="33" t="n">
        <f aca="false">AW463+AX463</f>
        <v>0</v>
      </c>
      <c r="BD463" s="33" t="n">
        <f aca="false">G463/(100-BE463)*100</f>
        <v>0</v>
      </c>
      <c r="BE463" s="33" t="n">
        <v>0</v>
      </c>
      <c r="BF463" s="33" t="n">
        <f aca="false">471</f>
        <v>471</v>
      </c>
      <c r="BH463" s="33" t="n">
        <f aca="false">F463*AO463</f>
        <v>0</v>
      </c>
      <c r="BI463" s="33" t="n">
        <f aca="false">F463*AP463</f>
        <v>0</v>
      </c>
      <c r="BJ463" s="33" t="n">
        <f aca="false">F463*G463</f>
        <v>0</v>
      </c>
      <c r="BK463" s="33"/>
      <c r="BL463" s="33"/>
      <c r="BW463" s="33" t="n">
        <v>12</v>
      </c>
      <c r="BX463" s="9" t="s">
        <v>915</v>
      </c>
    </row>
    <row r="464" customFormat="false" ht="15" hidden="false" customHeight="false" outlineLevel="0" collapsed="false">
      <c r="A464" s="36"/>
      <c r="C464" s="37" t="s">
        <v>104</v>
      </c>
      <c r="D464" s="37" t="s">
        <v>622</v>
      </c>
      <c r="F464" s="38" t="n">
        <v>10</v>
      </c>
      <c r="K464" s="39"/>
    </row>
    <row r="465" customFormat="false" ht="15" hidden="false" customHeight="true" outlineLevel="0" collapsed="false">
      <c r="A465" s="32" t="s">
        <v>918</v>
      </c>
      <c r="B465" s="10" t="s">
        <v>919</v>
      </c>
      <c r="C465" s="9" t="s">
        <v>920</v>
      </c>
      <c r="D465" s="9"/>
      <c r="E465" s="10" t="s">
        <v>163</v>
      </c>
      <c r="F465" s="33" t="n">
        <v>1</v>
      </c>
      <c r="G465" s="33" t="n">
        <v>0</v>
      </c>
      <c r="H465" s="33" t="n">
        <f aca="false">F465*AO465</f>
        <v>0</v>
      </c>
      <c r="I465" s="33" t="n">
        <f aca="false">F465*AP465</f>
        <v>0</v>
      </c>
      <c r="J465" s="33" t="n">
        <f aca="false">F465*G465</f>
        <v>0</v>
      </c>
      <c r="K465" s="34" t="s">
        <v>55</v>
      </c>
      <c r="Z465" s="33" t="n">
        <f aca="false">IF(AQ465="5",BJ465,0)</f>
        <v>0</v>
      </c>
      <c r="AB465" s="33" t="n">
        <f aca="false">IF(AQ465="1",BH465,0)</f>
        <v>0</v>
      </c>
      <c r="AC465" s="33" t="n">
        <f aca="false">IF(AQ465="1",BI465,0)</f>
        <v>0</v>
      </c>
      <c r="AD465" s="33" t="n">
        <f aca="false">IF(AQ465="7",BH465,0)</f>
        <v>0</v>
      </c>
      <c r="AE465" s="33" t="n">
        <f aca="false">IF(AQ465="7",BI465,0)</f>
        <v>0</v>
      </c>
      <c r="AF465" s="33" t="n">
        <f aca="false">IF(AQ465="2",BH465,0)</f>
        <v>0</v>
      </c>
      <c r="AG465" s="33" t="n">
        <f aca="false">IF(AQ465="2",BI465,0)</f>
        <v>0</v>
      </c>
      <c r="AH465" s="33" t="n">
        <f aca="false">IF(AQ465="0",BJ465,0)</f>
        <v>0</v>
      </c>
      <c r="AI465" s="18"/>
      <c r="AJ465" s="33" t="n">
        <f aca="false">IF(AN465=0,J465,0)</f>
        <v>0</v>
      </c>
      <c r="AK465" s="33" t="n">
        <f aca="false">IF(AN465=12,J465,0)</f>
        <v>0</v>
      </c>
      <c r="AL465" s="33" t="n">
        <f aca="false">IF(AN465=21,J465,0)</f>
        <v>0</v>
      </c>
      <c r="AN465" s="33" t="n">
        <v>12</v>
      </c>
      <c r="AO465" s="33" t="n">
        <f aca="false">G465*0.765855604</f>
        <v>0</v>
      </c>
      <c r="AP465" s="33" t="n">
        <f aca="false">G465*(1-0.765855604)</f>
        <v>0</v>
      </c>
      <c r="AQ465" s="35" t="s">
        <v>58</v>
      </c>
      <c r="AV465" s="33" t="n">
        <f aca="false">AW465+AX465</f>
        <v>0</v>
      </c>
      <c r="AW465" s="33" t="n">
        <f aca="false">F465*AO465</f>
        <v>0</v>
      </c>
      <c r="AX465" s="33" t="n">
        <f aca="false">F465*AP465</f>
        <v>0</v>
      </c>
      <c r="AY465" s="35" t="s">
        <v>917</v>
      </c>
      <c r="AZ465" s="35" t="s">
        <v>832</v>
      </c>
      <c r="BA465" s="18" t="s">
        <v>57</v>
      </c>
      <c r="BC465" s="33" t="n">
        <f aca="false">AW465+AX465</f>
        <v>0</v>
      </c>
      <c r="BD465" s="33" t="n">
        <f aca="false">G465/(100-BE465)*100</f>
        <v>0</v>
      </c>
      <c r="BE465" s="33" t="n">
        <v>0</v>
      </c>
      <c r="BF465" s="33" t="n">
        <f aca="false">473</f>
        <v>473</v>
      </c>
      <c r="BH465" s="33" t="n">
        <f aca="false">F465*AO465</f>
        <v>0</v>
      </c>
      <c r="BI465" s="33" t="n">
        <f aca="false">F465*AP465</f>
        <v>0</v>
      </c>
      <c r="BJ465" s="33" t="n">
        <f aca="false">F465*G465</f>
        <v>0</v>
      </c>
      <c r="BK465" s="33"/>
      <c r="BL465" s="33"/>
      <c r="BW465" s="33" t="n">
        <v>12</v>
      </c>
      <c r="BX465" s="9" t="s">
        <v>920</v>
      </c>
    </row>
    <row r="466" customFormat="false" ht="15" hidden="false" customHeight="false" outlineLevel="0" collapsed="false">
      <c r="A466" s="36"/>
      <c r="C466" s="37" t="s">
        <v>51</v>
      </c>
      <c r="D466" s="37" t="s">
        <v>921</v>
      </c>
      <c r="F466" s="38" t="n">
        <v>1</v>
      </c>
      <c r="K466" s="39"/>
    </row>
    <row r="467" customFormat="false" ht="15" hidden="false" customHeight="true" outlineLevel="0" collapsed="false">
      <c r="A467" s="32" t="s">
        <v>922</v>
      </c>
      <c r="B467" s="10" t="s">
        <v>923</v>
      </c>
      <c r="C467" s="9" t="s">
        <v>924</v>
      </c>
      <c r="D467" s="9"/>
      <c r="E467" s="10" t="s">
        <v>91</v>
      </c>
      <c r="F467" s="33" t="n">
        <v>290</v>
      </c>
      <c r="G467" s="33" t="n">
        <v>0</v>
      </c>
      <c r="H467" s="33" t="n">
        <f aca="false">F467*AO467</f>
        <v>0</v>
      </c>
      <c r="I467" s="33" t="n">
        <f aca="false">F467*AP467</f>
        <v>0</v>
      </c>
      <c r="J467" s="33" t="n">
        <f aca="false">F467*G467</f>
        <v>0</v>
      </c>
      <c r="K467" s="34" t="s">
        <v>55</v>
      </c>
      <c r="Z467" s="33" t="n">
        <f aca="false">IF(AQ467="5",BJ467,0)</f>
        <v>0</v>
      </c>
      <c r="AB467" s="33" t="n">
        <f aca="false">IF(AQ467="1",BH467,0)</f>
        <v>0</v>
      </c>
      <c r="AC467" s="33" t="n">
        <f aca="false">IF(AQ467="1",BI467,0)</f>
        <v>0</v>
      </c>
      <c r="AD467" s="33" t="n">
        <f aca="false">IF(AQ467="7",BH467,0)</f>
        <v>0</v>
      </c>
      <c r="AE467" s="33" t="n">
        <f aca="false">IF(AQ467="7",BI467,0)</f>
        <v>0</v>
      </c>
      <c r="AF467" s="33" t="n">
        <f aca="false">IF(AQ467="2",BH467,0)</f>
        <v>0</v>
      </c>
      <c r="AG467" s="33" t="n">
        <f aca="false">IF(AQ467="2",BI467,0)</f>
        <v>0</v>
      </c>
      <c r="AH467" s="33" t="n">
        <f aca="false">IF(AQ467="0",BJ467,0)</f>
        <v>0</v>
      </c>
      <c r="AI467" s="18"/>
      <c r="AJ467" s="33" t="n">
        <f aca="false">IF(AN467=0,J467,0)</f>
        <v>0</v>
      </c>
      <c r="AK467" s="33" t="n">
        <f aca="false">IF(AN467=12,J467,0)</f>
        <v>0</v>
      </c>
      <c r="AL467" s="33" t="n">
        <f aca="false">IF(AN467=21,J467,0)</f>
        <v>0</v>
      </c>
      <c r="AN467" s="33" t="n">
        <v>12</v>
      </c>
      <c r="AO467" s="33" t="n">
        <f aca="false">G467*0.146017699</f>
        <v>0</v>
      </c>
      <c r="AP467" s="33" t="n">
        <f aca="false">G467*(1-0.146017699)</f>
        <v>0</v>
      </c>
      <c r="AQ467" s="35" t="s">
        <v>58</v>
      </c>
      <c r="AV467" s="33" t="n">
        <f aca="false">AW467+AX467</f>
        <v>0</v>
      </c>
      <c r="AW467" s="33" t="n">
        <f aca="false">F467*AO467</f>
        <v>0</v>
      </c>
      <c r="AX467" s="33" t="n">
        <f aca="false">F467*AP467</f>
        <v>0</v>
      </c>
      <c r="AY467" s="35" t="s">
        <v>917</v>
      </c>
      <c r="AZ467" s="35" t="s">
        <v>832</v>
      </c>
      <c r="BA467" s="18" t="s">
        <v>57</v>
      </c>
      <c r="BC467" s="33" t="n">
        <f aca="false">AW467+AX467</f>
        <v>0</v>
      </c>
      <c r="BD467" s="33" t="n">
        <f aca="false">G467/(100-BE467)*100</f>
        <v>0</v>
      </c>
      <c r="BE467" s="33" t="n">
        <v>0</v>
      </c>
      <c r="BF467" s="33" t="n">
        <f aca="false">475</f>
        <v>475</v>
      </c>
      <c r="BH467" s="33" t="n">
        <f aca="false">F467*AO467</f>
        <v>0</v>
      </c>
      <c r="BI467" s="33" t="n">
        <f aca="false">F467*AP467</f>
        <v>0</v>
      </c>
      <c r="BJ467" s="33" t="n">
        <f aca="false">F467*G467</f>
        <v>0</v>
      </c>
      <c r="BK467" s="33"/>
      <c r="BL467" s="33"/>
      <c r="BW467" s="33" t="n">
        <v>12</v>
      </c>
      <c r="BX467" s="9" t="s">
        <v>924</v>
      </c>
    </row>
    <row r="468" customFormat="false" ht="15" hidden="false" customHeight="false" outlineLevel="0" collapsed="false">
      <c r="A468" s="36"/>
      <c r="C468" s="37" t="s">
        <v>925</v>
      </c>
      <c r="D468" s="37" t="s">
        <v>500</v>
      </c>
      <c r="F468" s="38" t="n">
        <v>290</v>
      </c>
      <c r="K468" s="39"/>
    </row>
    <row r="469" customFormat="false" ht="15" hidden="false" customHeight="true" outlineLevel="0" collapsed="false">
      <c r="A469" s="32" t="s">
        <v>926</v>
      </c>
      <c r="B469" s="10" t="s">
        <v>927</v>
      </c>
      <c r="C469" s="9" t="s">
        <v>928</v>
      </c>
      <c r="D469" s="9"/>
      <c r="E469" s="10" t="s">
        <v>91</v>
      </c>
      <c r="F469" s="33" t="n">
        <v>40</v>
      </c>
      <c r="G469" s="33" t="n">
        <v>0</v>
      </c>
      <c r="H469" s="33" t="n">
        <f aca="false">F469*AO469</f>
        <v>0</v>
      </c>
      <c r="I469" s="33" t="n">
        <f aca="false">F469*AP469</f>
        <v>0</v>
      </c>
      <c r="J469" s="33" t="n">
        <f aca="false">F469*G469</f>
        <v>0</v>
      </c>
      <c r="K469" s="34" t="s">
        <v>55</v>
      </c>
      <c r="Z469" s="33" t="n">
        <f aca="false">IF(AQ469="5",BJ469,0)</f>
        <v>0</v>
      </c>
      <c r="AB469" s="33" t="n">
        <f aca="false">IF(AQ469="1",BH469,0)</f>
        <v>0</v>
      </c>
      <c r="AC469" s="33" t="n">
        <f aca="false">IF(AQ469="1",BI469,0)</f>
        <v>0</v>
      </c>
      <c r="AD469" s="33" t="n">
        <f aca="false">IF(AQ469="7",BH469,0)</f>
        <v>0</v>
      </c>
      <c r="AE469" s="33" t="n">
        <f aca="false">IF(AQ469="7",BI469,0)</f>
        <v>0</v>
      </c>
      <c r="AF469" s="33" t="n">
        <f aca="false">IF(AQ469="2",BH469,0)</f>
        <v>0</v>
      </c>
      <c r="AG469" s="33" t="n">
        <f aca="false">IF(AQ469="2",BI469,0)</f>
        <v>0</v>
      </c>
      <c r="AH469" s="33" t="n">
        <f aca="false">IF(AQ469="0",BJ469,0)</f>
        <v>0</v>
      </c>
      <c r="AI469" s="18"/>
      <c r="AJ469" s="33" t="n">
        <f aca="false">IF(AN469=0,J469,0)</f>
        <v>0</v>
      </c>
      <c r="AK469" s="33" t="n">
        <f aca="false">IF(AN469=12,J469,0)</f>
        <v>0</v>
      </c>
      <c r="AL469" s="33" t="n">
        <f aca="false">IF(AN469=21,J469,0)</f>
        <v>0</v>
      </c>
      <c r="AN469" s="33" t="n">
        <v>12</v>
      </c>
      <c r="AO469" s="33" t="n">
        <f aca="false">G469*0.201604716</f>
        <v>0</v>
      </c>
      <c r="AP469" s="33" t="n">
        <f aca="false">G469*(1-0.201604716)</f>
        <v>0</v>
      </c>
      <c r="AQ469" s="35" t="s">
        <v>58</v>
      </c>
      <c r="AV469" s="33" t="n">
        <f aca="false">AW469+AX469</f>
        <v>0</v>
      </c>
      <c r="AW469" s="33" t="n">
        <f aca="false">F469*AO469</f>
        <v>0</v>
      </c>
      <c r="AX469" s="33" t="n">
        <f aca="false">F469*AP469</f>
        <v>0</v>
      </c>
      <c r="AY469" s="35" t="s">
        <v>917</v>
      </c>
      <c r="AZ469" s="35" t="s">
        <v>832</v>
      </c>
      <c r="BA469" s="18" t="s">
        <v>57</v>
      </c>
      <c r="BC469" s="33" t="n">
        <f aca="false">AW469+AX469</f>
        <v>0</v>
      </c>
      <c r="BD469" s="33" t="n">
        <f aca="false">G469/(100-BE469)*100</f>
        <v>0</v>
      </c>
      <c r="BE469" s="33" t="n">
        <v>0</v>
      </c>
      <c r="BF469" s="33" t="n">
        <f aca="false">477</f>
        <v>477</v>
      </c>
      <c r="BH469" s="33" t="n">
        <f aca="false">F469*AO469</f>
        <v>0</v>
      </c>
      <c r="BI469" s="33" t="n">
        <f aca="false">F469*AP469</f>
        <v>0</v>
      </c>
      <c r="BJ469" s="33" t="n">
        <f aca="false">F469*G469</f>
        <v>0</v>
      </c>
      <c r="BK469" s="33"/>
      <c r="BL469" s="33"/>
      <c r="BW469" s="33" t="n">
        <v>12</v>
      </c>
      <c r="BX469" s="9" t="s">
        <v>928</v>
      </c>
    </row>
    <row r="470" customFormat="false" ht="15" hidden="false" customHeight="false" outlineLevel="0" collapsed="false">
      <c r="A470" s="36"/>
      <c r="C470" s="37" t="s">
        <v>293</v>
      </c>
      <c r="D470" s="37" t="s">
        <v>921</v>
      </c>
      <c r="F470" s="38" t="n">
        <v>40</v>
      </c>
      <c r="K470" s="39"/>
    </row>
    <row r="471" customFormat="false" ht="15" hidden="false" customHeight="true" outlineLevel="0" collapsed="false">
      <c r="A471" s="32" t="s">
        <v>929</v>
      </c>
      <c r="B471" s="10" t="s">
        <v>930</v>
      </c>
      <c r="C471" s="9" t="s">
        <v>931</v>
      </c>
      <c r="D471" s="9"/>
      <c r="E471" s="10" t="s">
        <v>91</v>
      </c>
      <c r="F471" s="33" t="n">
        <v>250</v>
      </c>
      <c r="G471" s="33" t="n">
        <v>0</v>
      </c>
      <c r="H471" s="33" t="n">
        <f aca="false">F471*AO471</f>
        <v>0</v>
      </c>
      <c r="I471" s="33" t="n">
        <f aca="false">F471*AP471</f>
        <v>0</v>
      </c>
      <c r="J471" s="33" t="n">
        <f aca="false">F471*G471</f>
        <v>0</v>
      </c>
      <c r="K471" s="34" t="s">
        <v>55</v>
      </c>
      <c r="Z471" s="33" t="n">
        <f aca="false">IF(AQ471="5",BJ471,0)</f>
        <v>0</v>
      </c>
      <c r="AB471" s="33" t="n">
        <f aca="false">IF(AQ471="1",BH471,0)</f>
        <v>0</v>
      </c>
      <c r="AC471" s="33" t="n">
        <f aca="false">IF(AQ471="1",BI471,0)</f>
        <v>0</v>
      </c>
      <c r="AD471" s="33" t="n">
        <f aca="false">IF(AQ471="7",BH471,0)</f>
        <v>0</v>
      </c>
      <c r="AE471" s="33" t="n">
        <f aca="false">IF(AQ471="7",BI471,0)</f>
        <v>0</v>
      </c>
      <c r="AF471" s="33" t="n">
        <f aca="false">IF(AQ471="2",BH471,0)</f>
        <v>0</v>
      </c>
      <c r="AG471" s="33" t="n">
        <f aca="false">IF(AQ471="2",BI471,0)</f>
        <v>0</v>
      </c>
      <c r="AH471" s="33" t="n">
        <f aca="false">IF(AQ471="0",BJ471,0)</f>
        <v>0</v>
      </c>
      <c r="AI471" s="18"/>
      <c r="AJ471" s="33" t="n">
        <f aca="false">IF(AN471=0,J471,0)</f>
        <v>0</v>
      </c>
      <c r="AK471" s="33" t="n">
        <f aca="false">IF(AN471=12,J471,0)</f>
        <v>0</v>
      </c>
      <c r="AL471" s="33" t="n">
        <f aca="false">IF(AN471=21,J471,0)</f>
        <v>0</v>
      </c>
      <c r="AN471" s="33" t="n">
        <v>12</v>
      </c>
      <c r="AO471" s="33" t="n">
        <f aca="false">G471*0.603221626</f>
        <v>0</v>
      </c>
      <c r="AP471" s="33" t="n">
        <f aca="false">G471*(1-0.603221626)</f>
        <v>0</v>
      </c>
      <c r="AQ471" s="35" t="s">
        <v>58</v>
      </c>
      <c r="AV471" s="33" t="n">
        <f aca="false">AW471+AX471</f>
        <v>0</v>
      </c>
      <c r="AW471" s="33" t="n">
        <f aca="false">F471*AO471</f>
        <v>0</v>
      </c>
      <c r="AX471" s="33" t="n">
        <f aca="false">F471*AP471</f>
        <v>0</v>
      </c>
      <c r="AY471" s="35" t="s">
        <v>917</v>
      </c>
      <c r="AZ471" s="35" t="s">
        <v>832</v>
      </c>
      <c r="BA471" s="18" t="s">
        <v>57</v>
      </c>
      <c r="BC471" s="33" t="n">
        <f aca="false">AW471+AX471</f>
        <v>0</v>
      </c>
      <c r="BD471" s="33" t="n">
        <f aca="false">G471/(100-BE471)*100</f>
        <v>0</v>
      </c>
      <c r="BE471" s="33" t="n">
        <v>0</v>
      </c>
      <c r="BF471" s="33" t="n">
        <f aca="false">479</f>
        <v>479</v>
      </c>
      <c r="BH471" s="33" t="n">
        <f aca="false">F471*AO471</f>
        <v>0</v>
      </c>
      <c r="BI471" s="33" t="n">
        <f aca="false">F471*AP471</f>
        <v>0</v>
      </c>
      <c r="BJ471" s="33" t="n">
        <f aca="false">F471*G471</f>
        <v>0</v>
      </c>
      <c r="BK471" s="33"/>
      <c r="BL471" s="33"/>
      <c r="BW471" s="33" t="n">
        <v>12</v>
      </c>
      <c r="BX471" s="9" t="s">
        <v>931</v>
      </c>
    </row>
    <row r="472" customFormat="false" ht="15" hidden="false" customHeight="false" outlineLevel="0" collapsed="false">
      <c r="A472" s="36"/>
      <c r="C472" s="37" t="s">
        <v>932</v>
      </c>
      <c r="D472" s="37" t="s">
        <v>921</v>
      </c>
      <c r="F472" s="38" t="n">
        <v>250</v>
      </c>
      <c r="K472" s="39"/>
    </row>
    <row r="473" customFormat="false" ht="15" hidden="false" customHeight="true" outlineLevel="0" collapsed="false">
      <c r="A473" s="32" t="s">
        <v>933</v>
      </c>
      <c r="B473" s="10" t="s">
        <v>934</v>
      </c>
      <c r="C473" s="9" t="s">
        <v>935</v>
      </c>
      <c r="D473" s="9"/>
      <c r="E473" s="10" t="s">
        <v>163</v>
      </c>
      <c r="F473" s="33" t="n">
        <v>70</v>
      </c>
      <c r="G473" s="33" t="n">
        <v>0</v>
      </c>
      <c r="H473" s="33" t="n">
        <f aca="false">F473*AO473</f>
        <v>0</v>
      </c>
      <c r="I473" s="33" t="n">
        <f aca="false">F473*AP473</f>
        <v>0</v>
      </c>
      <c r="J473" s="33" t="n">
        <f aca="false">F473*G473</f>
        <v>0</v>
      </c>
      <c r="K473" s="34" t="s">
        <v>55</v>
      </c>
      <c r="Z473" s="33" t="n">
        <f aca="false">IF(AQ473="5",BJ473,0)</f>
        <v>0</v>
      </c>
      <c r="AB473" s="33" t="n">
        <f aca="false">IF(AQ473="1",BH473,0)</f>
        <v>0</v>
      </c>
      <c r="AC473" s="33" t="n">
        <f aca="false">IF(AQ473="1",BI473,0)</f>
        <v>0</v>
      </c>
      <c r="AD473" s="33" t="n">
        <f aca="false">IF(AQ473="7",BH473,0)</f>
        <v>0</v>
      </c>
      <c r="AE473" s="33" t="n">
        <f aca="false">IF(AQ473="7",BI473,0)</f>
        <v>0</v>
      </c>
      <c r="AF473" s="33" t="n">
        <f aca="false">IF(AQ473="2",BH473,0)</f>
        <v>0</v>
      </c>
      <c r="AG473" s="33" t="n">
        <f aca="false">IF(AQ473="2",BI473,0)</f>
        <v>0</v>
      </c>
      <c r="AH473" s="33" t="n">
        <f aca="false">IF(AQ473="0",BJ473,0)</f>
        <v>0</v>
      </c>
      <c r="AI473" s="18"/>
      <c r="AJ473" s="33" t="n">
        <f aca="false">IF(AN473=0,J473,0)</f>
        <v>0</v>
      </c>
      <c r="AK473" s="33" t="n">
        <f aca="false">IF(AN473=12,J473,0)</f>
        <v>0</v>
      </c>
      <c r="AL473" s="33" t="n">
        <f aca="false">IF(AN473=21,J473,0)</f>
        <v>0</v>
      </c>
      <c r="AN473" s="33" t="n">
        <v>12</v>
      </c>
      <c r="AO473" s="33" t="n">
        <f aca="false">G473*0.279092295</f>
        <v>0</v>
      </c>
      <c r="AP473" s="33" t="n">
        <f aca="false">G473*(1-0.279092295)</f>
        <v>0</v>
      </c>
      <c r="AQ473" s="35" t="s">
        <v>58</v>
      </c>
      <c r="AV473" s="33" t="n">
        <f aca="false">AW473+AX473</f>
        <v>0</v>
      </c>
      <c r="AW473" s="33" t="n">
        <f aca="false">F473*AO473</f>
        <v>0</v>
      </c>
      <c r="AX473" s="33" t="n">
        <f aca="false">F473*AP473</f>
        <v>0</v>
      </c>
      <c r="AY473" s="35" t="s">
        <v>917</v>
      </c>
      <c r="AZ473" s="35" t="s">
        <v>832</v>
      </c>
      <c r="BA473" s="18" t="s">
        <v>57</v>
      </c>
      <c r="BC473" s="33" t="n">
        <f aca="false">AW473+AX473</f>
        <v>0</v>
      </c>
      <c r="BD473" s="33" t="n">
        <f aca="false">G473/(100-BE473)*100</f>
        <v>0</v>
      </c>
      <c r="BE473" s="33" t="n">
        <v>0</v>
      </c>
      <c r="BF473" s="33" t="n">
        <f aca="false">481</f>
        <v>481</v>
      </c>
      <c r="BH473" s="33" t="n">
        <f aca="false">F473*AO473</f>
        <v>0</v>
      </c>
      <c r="BI473" s="33" t="n">
        <f aca="false">F473*AP473</f>
        <v>0</v>
      </c>
      <c r="BJ473" s="33" t="n">
        <f aca="false">F473*G473</f>
        <v>0</v>
      </c>
      <c r="BK473" s="33"/>
      <c r="BL473" s="33"/>
      <c r="BW473" s="33" t="n">
        <v>12</v>
      </c>
      <c r="BX473" s="9" t="s">
        <v>935</v>
      </c>
    </row>
    <row r="474" customFormat="false" ht="15" hidden="false" customHeight="false" outlineLevel="0" collapsed="false">
      <c r="A474" s="36"/>
      <c r="C474" s="37" t="s">
        <v>441</v>
      </c>
      <c r="D474" s="37" t="s">
        <v>921</v>
      </c>
      <c r="F474" s="38" t="n">
        <v>70</v>
      </c>
      <c r="K474" s="39"/>
    </row>
    <row r="475" customFormat="false" ht="15" hidden="false" customHeight="true" outlineLevel="0" collapsed="false">
      <c r="A475" s="32" t="s">
        <v>936</v>
      </c>
      <c r="B475" s="10" t="s">
        <v>937</v>
      </c>
      <c r="C475" s="9" t="s">
        <v>938</v>
      </c>
      <c r="D475" s="9"/>
      <c r="E475" s="10" t="s">
        <v>163</v>
      </c>
      <c r="F475" s="33" t="n">
        <v>70</v>
      </c>
      <c r="G475" s="33" t="n">
        <v>0</v>
      </c>
      <c r="H475" s="33" t="n">
        <f aca="false">F475*AO475</f>
        <v>0</v>
      </c>
      <c r="I475" s="33" t="n">
        <f aca="false">F475*AP475</f>
        <v>0</v>
      </c>
      <c r="J475" s="33" t="n">
        <f aca="false">F475*G475</f>
        <v>0</v>
      </c>
      <c r="K475" s="34" t="s">
        <v>55</v>
      </c>
      <c r="Z475" s="33" t="n">
        <f aca="false">IF(AQ475="5",BJ475,0)</f>
        <v>0</v>
      </c>
      <c r="AB475" s="33" t="n">
        <f aca="false">IF(AQ475="1",BH475,0)</f>
        <v>0</v>
      </c>
      <c r="AC475" s="33" t="n">
        <f aca="false">IF(AQ475="1",BI475,0)</f>
        <v>0</v>
      </c>
      <c r="AD475" s="33" t="n">
        <f aca="false">IF(AQ475="7",BH475,0)</f>
        <v>0</v>
      </c>
      <c r="AE475" s="33" t="n">
        <f aca="false">IF(AQ475="7",BI475,0)</f>
        <v>0</v>
      </c>
      <c r="AF475" s="33" t="n">
        <f aca="false">IF(AQ475="2",BH475,0)</f>
        <v>0</v>
      </c>
      <c r="AG475" s="33" t="n">
        <f aca="false">IF(AQ475="2",BI475,0)</f>
        <v>0</v>
      </c>
      <c r="AH475" s="33" t="n">
        <f aca="false">IF(AQ475="0",BJ475,0)</f>
        <v>0</v>
      </c>
      <c r="AI475" s="18"/>
      <c r="AJ475" s="33" t="n">
        <f aca="false">IF(AN475=0,J475,0)</f>
        <v>0</v>
      </c>
      <c r="AK475" s="33" t="n">
        <f aca="false">IF(AN475=12,J475,0)</f>
        <v>0</v>
      </c>
      <c r="AL475" s="33" t="n">
        <f aca="false">IF(AN475=21,J475,0)</f>
        <v>0</v>
      </c>
      <c r="AN475" s="33" t="n">
        <v>12</v>
      </c>
      <c r="AO475" s="33" t="n">
        <f aca="false">G475*0.119667014</f>
        <v>0</v>
      </c>
      <c r="AP475" s="33" t="n">
        <f aca="false">G475*(1-0.119667014)</f>
        <v>0</v>
      </c>
      <c r="AQ475" s="35" t="s">
        <v>58</v>
      </c>
      <c r="AV475" s="33" t="n">
        <f aca="false">AW475+AX475</f>
        <v>0</v>
      </c>
      <c r="AW475" s="33" t="n">
        <f aca="false">F475*AO475</f>
        <v>0</v>
      </c>
      <c r="AX475" s="33" t="n">
        <f aca="false">F475*AP475</f>
        <v>0</v>
      </c>
      <c r="AY475" s="35" t="s">
        <v>917</v>
      </c>
      <c r="AZ475" s="35" t="s">
        <v>832</v>
      </c>
      <c r="BA475" s="18" t="s">
        <v>57</v>
      </c>
      <c r="BC475" s="33" t="n">
        <f aca="false">AW475+AX475</f>
        <v>0</v>
      </c>
      <c r="BD475" s="33" t="n">
        <f aca="false">G475/(100-BE475)*100</f>
        <v>0</v>
      </c>
      <c r="BE475" s="33" t="n">
        <v>0</v>
      </c>
      <c r="BF475" s="33" t="n">
        <f aca="false">483</f>
        <v>483</v>
      </c>
      <c r="BH475" s="33" t="n">
        <f aca="false">F475*AO475</f>
        <v>0</v>
      </c>
      <c r="BI475" s="33" t="n">
        <f aca="false">F475*AP475</f>
        <v>0</v>
      </c>
      <c r="BJ475" s="33" t="n">
        <f aca="false">F475*G475</f>
        <v>0</v>
      </c>
      <c r="BK475" s="33"/>
      <c r="BL475" s="33"/>
      <c r="BW475" s="33" t="n">
        <v>12</v>
      </c>
      <c r="BX475" s="9" t="s">
        <v>938</v>
      </c>
    </row>
    <row r="476" customFormat="false" ht="15" hidden="false" customHeight="false" outlineLevel="0" collapsed="false">
      <c r="A476" s="36"/>
      <c r="C476" s="37" t="s">
        <v>441</v>
      </c>
      <c r="D476" s="37" t="s">
        <v>921</v>
      </c>
      <c r="F476" s="38" t="n">
        <v>70</v>
      </c>
      <c r="K476" s="39"/>
    </row>
    <row r="477" customFormat="false" ht="15" hidden="false" customHeight="true" outlineLevel="0" collapsed="false">
      <c r="A477" s="32" t="s">
        <v>939</v>
      </c>
      <c r="B477" s="10" t="s">
        <v>940</v>
      </c>
      <c r="C477" s="9" t="s">
        <v>941</v>
      </c>
      <c r="D477" s="9"/>
      <c r="E477" s="10" t="s">
        <v>163</v>
      </c>
      <c r="F477" s="33" t="n">
        <v>36</v>
      </c>
      <c r="G477" s="33" t="n">
        <v>0</v>
      </c>
      <c r="H477" s="33" t="n">
        <f aca="false">F477*AO477</f>
        <v>0</v>
      </c>
      <c r="I477" s="33" t="n">
        <f aca="false">F477*AP477</f>
        <v>0</v>
      </c>
      <c r="J477" s="33" t="n">
        <f aca="false">F477*G477</f>
        <v>0</v>
      </c>
      <c r="K477" s="34" t="s">
        <v>55</v>
      </c>
      <c r="Z477" s="33" t="n">
        <f aca="false">IF(AQ477="5",BJ477,0)</f>
        <v>0</v>
      </c>
      <c r="AB477" s="33" t="n">
        <f aca="false">IF(AQ477="1",BH477,0)</f>
        <v>0</v>
      </c>
      <c r="AC477" s="33" t="n">
        <f aca="false">IF(AQ477="1",BI477,0)</f>
        <v>0</v>
      </c>
      <c r="AD477" s="33" t="n">
        <f aca="false">IF(AQ477="7",BH477,0)</f>
        <v>0</v>
      </c>
      <c r="AE477" s="33" t="n">
        <f aca="false">IF(AQ477="7",BI477,0)</f>
        <v>0</v>
      </c>
      <c r="AF477" s="33" t="n">
        <f aca="false">IF(AQ477="2",BH477,0)</f>
        <v>0</v>
      </c>
      <c r="AG477" s="33" t="n">
        <f aca="false">IF(AQ477="2",BI477,0)</f>
        <v>0</v>
      </c>
      <c r="AH477" s="33" t="n">
        <f aca="false">IF(AQ477="0",BJ477,0)</f>
        <v>0</v>
      </c>
      <c r="AI477" s="18"/>
      <c r="AJ477" s="33" t="n">
        <f aca="false">IF(AN477=0,J477,0)</f>
        <v>0</v>
      </c>
      <c r="AK477" s="33" t="n">
        <f aca="false">IF(AN477=12,J477,0)</f>
        <v>0</v>
      </c>
      <c r="AL477" s="33" t="n">
        <f aca="false">IF(AN477=21,J477,0)</f>
        <v>0</v>
      </c>
      <c r="AN477" s="33" t="n">
        <v>12</v>
      </c>
      <c r="AO477" s="33" t="n">
        <f aca="false">G477*0.342459547</f>
        <v>0</v>
      </c>
      <c r="AP477" s="33" t="n">
        <f aca="false">G477*(1-0.342459547)</f>
        <v>0</v>
      </c>
      <c r="AQ477" s="35" t="s">
        <v>58</v>
      </c>
      <c r="AV477" s="33" t="n">
        <f aca="false">AW477+AX477</f>
        <v>0</v>
      </c>
      <c r="AW477" s="33" t="n">
        <f aca="false">F477*AO477</f>
        <v>0</v>
      </c>
      <c r="AX477" s="33" t="n">
        <f aca="false">F477*AP477</f>
        <v>0</v>
      </c>
      <c r="AY477" s="35" t="s">
        <v>917</v>
      </c>
      <c r="AZ477" s="35" t="s">
        <v>832</v>
      </c>
      <c r="BA477" s="18" t="s">
        <v>57</v>
      </c>
      <c r="BC477" s="33" t="n">
        <f aca="false">AW477+AX477</f>
        <v>0</v>
      </c>
      <c r="BD477" s="33" t="n">
        <f aca="false">G477/(100-BE477)*100</f>
        <v>0</v>
      </c>
      <c r="BE477" s="33" t="n">
        <v>0</v>
      </c>
      <c r="BF477" s="33" t="n">
        <f aca="false">485</f>
        <v>485</v>
      </c>
      <c r="BH477" s="33" t="n">
        <f aca="false">F477*AO477</f>
        <v>0</v>
      </c>
      <c r="BI477" s="33" t="n">
        <f aca="false">F477*AP477</f>
        <v>0</v>
      </c>
      <c r="BJ477" s="33" t="n">
        <f aca="false">F477*G477</f>
        <v>0</v>
      </c>
      <c r="BK477" s="33"/>
      <c r="BL477" s="33"/>
      <c r="BW477" s="33" t="n">
        <v>12</v>
      </c>
      <c r="BX477" s="9" t="s">
        <v>941</v>
      </c>
    </row>
    <row r="478" customFormat="false" ht="15" hidden="false" customHeight="false" outlineLevel="0" collapsed="false">
      <c r="A478" s="36"/>
      <c r="C478" s="37" t="s">
        <v>258</v>
      </c>
      <c r="D478" s="37" t="s">
        <v>921</v>
      </c>
      <c r="F478" s="38" t="n">
        <v>36</v>
      </c>
      <c r="K478" s="39"/>
    </row>
    <row r="479" customFormat="false" ht="15" hidden="false" customHeight="true" outlineLevel="0" collapsed="false">
      <c r="A479" s="32" t="s">
        <v>942</v>
      </c>
      <c r="B479" s="10" t="s">
        <v>943</v>
      </c>
      <c r="C479" s="9" t="s">
        <v>941</v>
      </c>
      <c r="D479" s="9"/>
      <c r="E479" s="10" t="s">
        <v>163</v>
      </c>
      <c r="F479" s="33" t="n">
        <v>5</v>
      </c>
      <c r="G479" s="33" t="n">
        <v>0</v>
      </c>
      <c r="H479" s="33" t="n">
        <f aca="false">F479*AO479</f>
        <v>0</v>
      </c>
      <c r="I479" s="33" t="n">
        <f aca="false">F479*AP479</f>
        <v>0</v>
      </c>
      <c r="J479" s="33" t="n">
        <f aca="false">F479*G479</f>
        <v>0</v>
      </c>
      <c r="K479" s="34" t="s">
        <v>55</v>
      </c>
      <c r="Z479" s="33" t="n">
        <f aca="false">IF(AQ479="5",BJ479,0)</f>
        <v>0</v>
      </c>
      <c r="AB479" s="33" t="n">
        <f aca="false">IF(AQ479="1",BH479,0)</f>
        <v>0</v>
      </c>
      <c r="AC479" s="33" t="n">
        <f aca="false">IF(AQ479="1",BI479,0)</f>
        <v>0</v>
      </c>
      <c r="AD479" s="33" t="n">
        <f aca="false">IF(AQ479="7",BH479,0)</f>
        <v>0</v>
      </c>
      <c r="AE479" s="33" t="n">
        <f aca="false">IF(AQ479="7",BI479,0)</f>
        <v>0</v>
      </c>
      <c r="AF479" s="33" t="n">
        <f aca="false">IF(AQ479="2",BH479,0)</f>
        <v>0</v>
      </c>
      <c r="AG479" s="33" t="n">
        <f aca="false">IF(AQ479="2",BI479,0)</f>
        <v>0</v>
      </c>
      <c r="AH479" s="33" t="n">
        <f aca="false">IF(AQ479="0",BJ479,0)</f>
        <v>0</v>
      </c>
      <c r="AI479" s="18"/>
      <c r="AJ479" s="33" t="n">
        <f aca="false">IF(AN479=0,J479,0)</f>
        <v>0</v>
      </c>
      <c r="AK479" s="33" t="n">
        <f aca="false">IF(AN479=12,J479,0)</f>
        <v>0</v>
      </c>
      <c r="AL479" s="33" t="n">
        <f aca="false">IF(AN479=21,J479,0)</f>
        <v>0</v>
      </c>
      <c r="AN479" s="33" t="n">
        <v>12</v>
      </c>
      <c r="AO479" s="33" t="n">
        <f aca="false">G479*0.24472119</f>
        <v>0</v>
      </c>
      <c r="AP479" s="33" t="n">
        <f aca="false">G479*(1-0.24472119)</f>
        <v>0</v>
      </c>
      <c r="AQ479" s="35" t="s">
        <v>58</v>
      </c>
      <c r="AV479" s="33" t="n">
        <f aca="false">AW479+AX479</f>
        <v>0</v>
      </c>
      <c r="AW479" s="33" t="n">
        <f aca="false">F479*AO479</f>
        <v>0</v>
      </c>
      <c r="AX479" s="33" t="n">
        <f aca="false">F479*AP479</f>
        <v>0</v>
      </c>
      <c r="AY479" s="35" t="s">
        <v>917</v>
      </c>
      <c r="AZ479" s="35" t="s">
        <v>832</v>
      </c>
      <c r="BA479" s="18" t="s">
        <v>57</v>
      </c>
      <c r="BC479" s="33" t="n">
        <f aca="false">AW479+AX479</f>
        <v>0</v>
      </c>
      <c r="BD479" s="33" t="n">
        <f aca="false">G479/(100-BE479)*100</f>
        <v>0</v>
      </c>
      <c r="BE479" s="33" t="n">
        <v>0</v>
      </c>
      <c r="BF479" s="33" t="n">
        <f aca="false">487</f>
        <v>487</v>
      </c>
      <c r="BH479" s="33" t="n">
        <f aca="false">F479*AO479</f>
        <v>0</v>
      </c>
      <c r="BI479" s="33" t="n">
        <f aca="false">F479*AP479</f>
        <v>0</v>
      </c>
      <c r="BJ479" s="33" t="n">
        <f aca="false">F479*G479</f>
        <v>0</v>
      </c>
      <c r="BK479" s="33"/>
      <c r="BL479" s="33"/>
      <c r="BW479" s="33" t="n">
        <v>12</v>
      </c>
      <c r="BX479" s="9" t="s">
        <v>941</v>
      </c>
    </row>
    <row r="480" customFormat="false" ht="15" hidden="false" customHeight="false" outlineLevel="0" collapsed="false">
      <c r="A480" s="36"/>
      <c r="C480" s="37" t="s">
        <v>68</v>
      </c>
      <c r="D480" s="37" t="s">
        <v>921</v>
      </c>
      <c r="F480" s="38" t="n">
        <v>5</v>
      </c>
      <c r="K480" s="39"/>
    </row>
    <row r="481" customFormat="false" ht="15" hidden="false" customHeight="true" outlineLevel="0" collapsed="false">
      <c r="A481" s="32" t="s">
        <v>944</v>
      </c>
      <c r="B481" s="10" t="s">
        <v>945</v>
      </c>
      <c r="C481" s="9" t="s">
        <v>946</v>
      </c>
      <c r="D481" s="9"/>
      <c r="E481" s="10" t="s">
        <v>916</v>
      </c>
      <c r="F481" s="33" t="n">
        <v>35</v>
      </c>
      <c r="G481" s="33" t="n">
        <v>0</v>
      </c>
      <c r="H481" s="33" t="n">
        <f aca="false">F481*AO481</f>
        <v>0</v>
      </c>
      <c r="I481" s="33" t="n">
        <f aca="false">F481*AP481</f>
        <v>0</v>
      </c>
      <c r="J481" s="33" t="n">
        <f aca="false">F481*G481</f>
        <v>0</v>
      </c>
      <c r="K481" s="34" t="s">
        <v>55</v>
      </c>
      <c r="Z481" s="33" t="n">
        <f aca="false">IF(AQ481="5",BJ481,0)</f>
        <v>0</v>
      </c>
      <c r="AB481" s="33" t="n">
        <f aca="false">IF(AQ481="1",BH481,0)</f>
        <v>0</v>
      </c>
      <c r="AC481" s="33" t="n">
        <f aca="false">IF(AQ481="1",BI481,0)</f>
        <v>0</v>
      </c>
      <c r="AD481" s="33" t="n">
        <f aca="false">IF(AQ481="7",BH481,0)</f>
        <v>0</v>
      </c>
      <c r="AE481" s="33" t="n">
        <f aca="false">IF(AQ481="7",BI481,0)</f>
        <v>0</v>
      </c>
      <c r="AF481" s="33" t="n">
        <f aca="false">IF(AQ481="2",BH481,0)</f>
        <v>0</v>
      </c>
      <c r="AG481" s="33" t="n">
        <f aca="false">IF(AQ481="2",BI481,0)</f>
        <v>0</v>
      </c>
      <c r="AH481" s="33" t="n">
        <f aca="false">IF(AQ481="0",BJ481,0)</f>
        <v>0</v>
      </c>
      <c r="AI481" s="18"/>
      <c r="AJ481" s="33" t="n">
        <f aca="false">IF(AN481=0,J481,0)</f>
        <v>0</v>
      </c>
      <c r="AK481" s="33" t="n">
        <f aca="false">IF(AN481=12,J481,0)</f>
        <v>0</v>
      </c>
      <c r="AL481" s="33" t="n">
        <f aca="false">IF(AN481=21,J481,0)</f>
        <v>0</v>
      </c>
      <c r="AN481" s="33" t="n">
        <v>12</v>
      </c>
      <c r="AO481" s="33" t="n">
        <f aca="false">G481*0</f>
        <v>0</v>
      </c>
      <c r="AP481" s="33" t="n">
        <f aca="false">G481*(1-0)</f>
        <v>0</v>
      </c>
      <c r="AQ481" s="35" t="s">
        <v>58</v>
      </c>
      <c r="AV481" s="33" t="n">
        <f aca="false">AW481+AX481</f>
        <v>0</v>
      </c>
      <c r="AW481" s="33" t="n">
        <f aca="false">F481*AO481</f>
        <v>0</v>
      </c>
      <c r="AX481" s="33" t="n">
        <f aca="false">F481*AP481</f>
        <v>0</v>
      </c>
      <c r="AY481" s="35" t="s">
        <v>917</v>
      </c>
      <c r="AZ481" s="35" t="s">
        <v>832</v>
      </c>
      <c r="BA481" s="18" t="s">
        <v>57</v>
      </c>
      <c r="BC481" s="33" t="n">
        <f aca="false">AW481+AX481</f>
        <v>0</v>
      </c>
      <c r="BD481" s="33" t="n">
        <f aca="false">G481/(100-BE481)*100</f>
        <v>0</v>
      </c>
      <c r="BE481" s="33" t="n">
        <v>0</v>
      </c>
      <c r="BF481" s="33" t="n">
        <f aca="false">489</f>
        <v>489</v>
      </c>
      <c r="BH481" s="33" t="n">
        <f aca="false">F481*AO481</f>
        <v>0</v>
      </c>
      <c r="BI481" s="33" t="n">
        <f aca="false">F481*AP481</f>
        <v>0</v>
      </c>
      <c r="BJ481" s="33" t="n">
        <f aca="false">F481*G481</f>
        <v>0</v>
      </c>
      <c r="BK481" s="33"/>
      <c r="BL481" s="33"/>
      <c r="BW481" s="33" t="n">
        <v>12</v>
      </c>
      <c r="BX481" s="9" t="s">
        <v>946</v>
      </c>
    </row>
    <row r="482" customFormat="false" ht="15" hidden="false" customHeight="false" outlineLevel="0" collapsed="false">
      <c r="A482" s="36"/>
      <c r="C482" s="37" t="s">
        <v>254</v>
      </c>
      <c r="D482" s="37"/>
      <c r="F482" s="38" t="n">
        <v>35</v>
      </c>
      <c r="K482" s="39"/>
    </row>
    <row r="483" customFormat="false" ht="15" hidden="false" customHeight="true" outlineLevel="0" collapsed="false">
      <c r="A483" s="32" t="s">
        <v>947</v>
      </c>
      <c r="B483" s="10" t="s">
        <v>948</v>
      </c>
      <c r="C483" s="9" t="s">
        <v>949</v>
      </c>
      <c r="D483" s="9"/>
      <c r="E483" s="10" t="s">
        <v>91</v>
      </c>
      <c r="F483" s="33" t="n">
        <v>40</v>
      </c>
      <c r="G483" s="33" t="n">
        <v>0</v>
      </c>
      <c r="H483" s="33" t="n">
        <f aca="false">F483*AO483</f>
        <v>0</v>
      </c>
      <c r="I483" s="33" t="n">
        <f aca="false">F483*AP483</f>
        <v>0</v>
      </c>
      <c r="J483" s="33" t="n">
        <f aca="false">F483*G483</f>
        <v>0</v>
      </c>
      <c r="K483" s="34" t="s">
        <v>55</v>
      </c>
      <c r="Z483" s="33" t="n">
        <f aca="false">IF(AQ483="5",BJ483,0)</f>
        <v>0</v>
      </c>
      <c r="AB483" s="33" t="n">
        <f aca="false">IF(AQ483="1",BH483,0)</f>
        <v>0</v>
      </c>
      <c r="AC483" s="33" t="n">
        <f aca="false">IF(AQ483="1",BI483,0)</f>
        <v>0</v>
      </c>
      <c r="AD483" s="33" t="n">
        <f aca="false">IF(AQ483="7",BH483,0)</f>
        <v>0</v>
      </c>
      <c r="AE483" s="33" t="n">
        <f aca="false">IF(AQ483="7",BI483,0)</f>
        <v>0</v>
      </c>
      <c r="AF483" s="33" t="n">
        <f aca="false">IF(AQ483="2",BH483,0)</f>
        <v>0</v>
      </c>
      <c r="AG483" s="33" t="n">
        <f aca="false">IF(AQ483="2",BI483,0)</f>
        <v>0</v>
      </c>
      <c r="AH483" s="33" t="n">
        <f aca="false">IF(AQ483="0",BJ483,0)</f>
        <v>0</v>
      </c>
      <c r="AI483" s="18"/>
      <c r="AJ483" s="33" t="n">
        <f aca="false">IF(AN483=0,J483,0)</f>
        <v>0</v>
      </c>
      <c r="AK483" s="33" t="n">
        <f aca="false">IF(AN483=12,J483,0)</f>
        <v>0</v>
      </c>
      <c r="AL483" s="33" t="n">
        <f aca="false">IF(AN483=21,J483,0)</f>
        <v>0</v>
      </c>
      <c r="AN483" s="33" t="n">
        <v>12</v>
      </c>
      <c r="AO483" s="33" t="n">
        <f aca="false">G483*0.690322581</f>
        <v>0</v>
      </c>
      <c r="AP483" s="33" t="n">
        <f aca="false">G483*(1-0.690322581)</f>
        <v>0</v>
      </c>
      <c r="AQ483" s="35" t="s">
        <v>58</v>
      </c>
      <c r="AV483" s="33" t="n">
        <f aca="false">AW483+AX483</f>
        <v>0</v>
      </c>
      <c r="AW483" s="33" t="n">
        <f aca="false">F483*AO483</f>
        <v>0</v>
      </c>
      <c r="AX483" s="33" t="n">
        <f aca="false">F483*AP483</f>
        <v>0</v>
      </c>
      <c r="AY483" s="35" t="s">
        <v>917</v>
      </c>
      <c r="AZ483" s="35" t="s">
        <v>832</v>
      </c>
      <c r="BA483" s="18" t="s">
        <v>57</v>
      </c>
      <c r="BC483" s="33" t="n">
        <f aca="false">AW483+AX483</f>
        <v>0</v>
      </c>
      <c r="BD483" s="33" t="n">
        <f aca="false">G483/(100-BE483)*100</f>
        <v>0</v>
      </c>
      <c r="BE483" s="33" t="n">
        <v>0</v>
      </c>
      <c r="BF483" s="33" t="n">
        <f aca="false">491</f>
        <v>491</v>
      </c>
      <c r="BH483" s="33" t="n">
        <f aca="false">F483*AO483</f>
        <v>0</v>
      </c>
      <c r="BI483" s="33" t="n">
        <f aca="false">F483*AP483</f>
        <v>0</v>
      </c>
      <c r="BJ483" s="33" t="n">
        <f aca="false">F483*G483</f>
        <v>0</v>
      </c>
      <c r="BK483" s="33"/>
      <c r="BL483" s="33"/>
      <c r="BW483" s="33" t="n">
        <v>12</v>
      </c>
      <c r="BX483" s="9" t="s">
        <v>949</v>
      </c>
    </row>
    <row r="484" customFormat="false" ht="15" hidden="false" customHeight="false" outlineLevel="0" collapsed="false">
      <c r="A484" s="36"/>
      <c r="C484" s="37" t="s">
        <v>293</v>
      </c>
      <c r="D484" s="37" t="s">
        <v>921</v>
      </c>
      <c r="F484" s="38" t="n">
        <v>40</v>
      </c>
      <c r="K484" s="39"/>
    </row>
    <row r="485" customFormat="false" ht="15" hidden="false" customHeight="true" outlineLevel="0" collapsed="false">
      <c r="A485" s="32" t="s">
        <v>950</v>
      </c>
      <c r="B485" s="10" t="s">
        <v>951</v>
      </c>
      <c r="C485" s="9" t="s">
        <v>952</v>
      </c>
      <c r="D485" s="9"/>
      <c r="E485" s="10" t="s">
        <v>91</v>
      </c>
      <c r="F485" s="33" t="n">
        <v>490</v>
      </c>
      <c r="G485" s="33" t="n">
        <v>0</v>
      </c>
      <c r="H485" s="33" t="n">
        <f aca="false">F485*AO485</f>
        <v>0</v>
      </c>
      <c r="I485" s="33" t="n">
        <f aca="false">F485*AP485</f>
        <v>0</v>
      </c>
      <c r="J485" s="33" t="n">
        <f aca="false">F485*G485</f>
        <v>0</v>
      </c>
      <c r="K485" s="34" t="s">
        <v>55</v>
      </c>
      <c r="Z485" s="33" t="n">
        <f aca="false">IF(AQ485="5",BJ485,0)</f>
        <v>0</v>
      </c>
      <c r="AB485" s="33" t="n">
        <f aca="false">IF(AQ485="1",BH485,0)</f>
        <v>0</v>
      </c>
      <c r="AC485" s="33" t="n">
        <f aca="false">IF(AQ485="1",BI485,0)</f>
        <v>0</v>
      </c>
      <c r="AD485" s="33" t="n">
        <f aca="false">IF(AQ485="7",BH485,0)</f>
        <v>0</v>
      </c>
      <c r="AE485" s="33" t="n">
        <f aca="false">IF(AQ485="7",BI485,0)</f>
        <v>0</v>
      </c>
      <c r="AF485" s="33" t="n">
        <f aca="false">IF(AQ485="2",BH485,0)</f>
        <v>0</v>
      </c>
      <c r="AG485" s="33" t="n">
        <f aca="false">IF(AQ485="2",BI485,0)</f>
        <v>0</v>
      </c>
      <c r="AH485" s="33" t="n">
        <f aca="false">IF(AQ485="0",BJ485,0)</f>
        <v>0</v>
      </c>
      <c r="AI485" s="18"/>
      <c r="AJ485" s="33" t="n">
        <f aca="false">IF(AN485=0,J485,0)</f>
        <v>0</v>
      </c>
      <c r="AK485" s="33" t="n">
        <f aca="false">IF(AN485=12,J485,0)</f>
        <v>0</v>
      </c>
      <c r="AL485" s="33" t="n">
        <f aca="false">IF(AN485=21,J485,0)</f>
        <v>0</v>
      </c>
      <c r="AN485" s="33" t="n">
        <v>12</v>
      </c>
      <c r="AO485" s="33" t="n">
        <f aca="false">G485*0.221071429</f>
        <v>0</v>
      </c>
      <c r="AP485" s="33" t="n">
        <f aca="false">G485*(1-0.221071429)</f>
        <v>0</v>
      </c>
      <c r="AQ485" s="35" t="s">
        <v>58</v>
      </c>
      <c r="AV485" s="33" t="n">
        <f aca="false">AW485+AX485</f>
        <v>0</v>
      </c>
      <c r="AW485" s="33" t="n">
        <f aca="false">F485*AO485</f>
        <v>0</v>
      </c>
      <c r="AX485" s="33" t="n">
        <f aca="false">F485*AP485</f>
        <v>0</v>
      </c>
      <c r="AY485" s="35" t="s">
        <v>917</v>
      </c>
      <c r="AZ485" s="35" t="s">
        <v>832</v>
      </c>
      <c r="BA485" s="18" t="s">
        <v>57</v>
      </c>
      <c r="BC485" s="33" t="n">
        <f aca="false">AW485+AX485</f>
        <v>0</v>
      </c>
      <c r="BD485" s="33" t="n">
        <f aca="false">G485/(100-BE485)*100</f>
        <v>0</v>
      </c>
      <c r="BE485" s="33" t="n">
        <v>0</v>
      </c>
      <c r="BF485" s="33" t="n">
        <f aca="false">493</f>
        <v>493</v>
      </c>
      <c r="BH485" s="33" t="n">
        <f aca="false">F485*AO485</f>
        <v>0</v>
      </c>
      <c r="BI485" s="33" t="n">
        <f aca="false">F485*AP485</f>
        <v>0</v>
      </c>
      <c r="BJ485" s="33" t="n">
        <f aca="false">F485*G485</f>
        <v>0</v>
      </c>
      <c r="BK485" s="33"/>
      <c r="BL485" s="33"/>
      <c r="BW485" s="33" t="n">
        <v>12</v>
      </c>
      <c r="BX485" s="9" t="s">
        <v>952</v>
      </c>
    </row>
    <row r="486" customFormat="false" ht="15" hidden="false" customHeight="false" outlineLevel="0" collapsed="false">
      <c r="A486" s="36"/>
      <c r="C486" s="37" t="s">
        <v>953</v>
      </c>
      <c r="D486" s="37" t="s">
        <v>921</v>
      </c>
      <c r="F486" s="38" t="n">
        <v>490</v>
      </c>
      <c r="K486" s="39"/>
    </row>
    <row r="487" customFormat="false" ht="15" hidden="false" customHeight="true" outlineLevel="0" collapsed="false">
      <c r="A487" s="32" t="s">
        <v>954</v>
      </c>
      <c r="B487" s="10" t="s">
        <v>955</v>
      </c>
      <c r="C487" s="9" t="s">
        <v>956</v>
      </c>
      <c r="D487" s="9"/>
      <c r="E487" s="10" t="s">
        <v>91</v>
      </c>
      <c r="F487" s="33" t="n">
        <v>950</v>
      </c>
      <c r="G487" s="33" t="n">
        <v>0</v>
      </c>
      <c r="H487" s="33" t="n">
        <f aca="false">F487*AO487</f>
        <v>0</v>
      </c>
      <c r="I487" s="33" t="n">
        <f aca="false">F487*AP487</f>
        <v>0</v>
      </c>
      <c r="J487" s="33" t="n">
        <f aca="false">F487*G487</f>
        <v>0</v>
      </c>
      <c r="K487" s="34" t="s">
        <v>55</v>
      </c>
      <c r="Z487" s="33" t="n">
        <f aca="false">IF(AQ487="5",BJ487,0)</f>
        <v>0</v>
      </c>
      <c r="AB487" s="33" t="n">
        <f aca="false">IF(AQ487="1",BH487,0)</f>
        <v>0</v>
      </c>
      <c r="AC487" s="33" t="n">
        <f aca="false">IF(AQ487="1",BI487,0)</f>
        <v>0</v>
      </c>
      <c r="AD487" s="33" t="n">
        <f aca="false">IF(AQ487="7",BH487,0)</f>
        <v>0</v>
      </c>
      <c r="AE487" s="33" t="n">
        <f aca="false">IF(AQ487="7",BI487,0)</f>
        <v>0</v>
      </c>
      <c r="AF487" s="33" t="n">
        <f aca="false">IF(AQ487="2",BH487,0)</f>
        <v>0</v>
      </c>
      <c r="AG487" s="33" t="n">
        <f aca="false">IF(AQ487="2",BI487,0)</f>
        <v>0</v>
      </c>
      <c r="AH487" s="33" t="n">
        <f aca="false">IF(AQ487="0",BJ487,0)</f>
        <v>0</v>
      </c>
      <c r="AI487" s="18"/>
      <c r="AJ487" s="33" t="n">
        <f aca="false">IF(AN487=0,J487,0)</f>
        <v>0</v>
      </c>
      <c r="AK487" s="33" t="n">
        <f aca="false">IF(AN487=12,J487,0)</f>
        <v>0</v>
      </c>
      <c r="AL487" s="33" t="n">
        <f aca="false">IF(AN487=21,J487,0)</f>
        <v>0</v>
      </c>
      <c r="AN487" s="33" t="n">
        <v>12</v>
      </c>
      <c r="AO487" s="33" t="n">
        <f aca="false">G487*0.299361702</f>
        <v>0</v>
      </c>
      <c r="AP487" s="33" t="n">
        <f aca="false">G487*(1-0.299361702)</f>
        <v>0</v>
      </c>
      <c r="AQ487" s="35" t="s">
        <v>58</v>
      </c>
      <c r="AV487" s="33" t="n">
        <f aca="false">AW487+AX487</f>
        <v>0</v>
      </c>
      <c r="AW487" s="33" t="n">
        <f aca="false">F487*AO487</f>
        <v>0</v>
      </c>
      <c r="AX487" s="33" t="n">
        <f aca="false">F487*AP487</f>
        <v>0</v>
      </c>
      <c r="AY487" s="35" t="s">
        <v>917</v>
      </c>
      <c r="AZ487" s="35" t="s">
        <v>832</v>
      </c>
      <c r="BA487" s="18" t="s">
        <v>57</v>
      </c>
      <c r="BC487" s="33" t="n">
        <f aca="false">AW487+AX487</f>
        <v>0</v>
      </c>
      <c r="BD487" s="33" t="n">
        <f aca="false">G487/(100-BE487)*100</f>
        <v>0</v>
      </c>
      <c r="BE487" s="33" t="n">
        <v>0</v>
      </c>
      <c r="BF487" s="33" t="n">
        <f aca="false">495</f>
        <v>495</v>
      </c>
      <c r="BH487" s="33" t="n">
        <f aca="false">F487*AO487</f>
        <v>0</v>
      </c>
      <c r="BI487" s="33" t="n">
        <f aca="false">F487*AP487</f>
        <v>0</v>
      </c>
      <c r="BJ487" s="33" t="n">
        <f aca="false">F487*G487</f>
        <v>0</v>
      </c>
      <c r="BK487" s="33"/>
      <c r="BL487" s="33"/>
      <c r="BW487" s="33" t="n">
        <v>12</v>
      </c>
      <c r="BX487" s="9" t="s">
        <v>956</v>
      </c>
    </row>
    <row r="488" customFormat="false" ht="15" hidden="false" customHeight="false" outlineLevel="0" collapsed="false">
      <c r="A488" s="36"/>
      <c r="C488" s="37" t="s">
        <v>957</v>
      </c>
      <c r="D488" s="37" t="s">
        <v>921</v>
      </c>
      <c r="F488" s="38" t="n">
        <v>950</v>
      </c>
      <c r="K488" s="39"/>
    </row>
    <row r="489" customFormat="false" ht="15" hidden="false" customHeight="true" outlineLevel="0" collapsed="false">
      <c r="A489" s="32" t="s">
        <v>958</v>
      </c>
      <c r="B489" s="10" t="s">
        <v>959</v>
      </c>
      <c r="C489" s="9" t="s">
        <v>960</v>
      </c>
      <c r="D489" s="9"/>
      <c r="E489" s="10" t="s">
        <v>163</v>
      </c>
      <c r="F489" s="33" t="n">
        <v>422</v>
      </c>
      <c r="G489" s="33" t="n">
        <v>0</v>
      </c>
      <c r="H489" s="33" t="n">
        <f aca="false">F489*AO489</f>
        <v>0</v>
      </c>
      <c r="I489" s="33" t="n">
        <f aca="false">F489*AP489</f>
        <v>0</v>
      </c>
      <c r="J489" s="33" t="n">
        <f aca="false">F489*G489</f>
        <v>0</v>
      </c>
      <c r="K489" s="34" t="s">
        <v>55</v>
      </c>
      <c r="Z489" s="33" t="n">
        <f aca="false">IF(AQ489="5",BJ489,0)</f>
        <v>0</v>
      </c>
      <c r="AB489" s="33" t="n">
        <f aca="false">IF(AQ489="1",BH489,0)</f>
        <v>0</v>
      </c>
      <c r="AC489" s="33" t="n">
        <f aca="false">IF(AQ489="1",BI489,0)</f>
        <v>0</v>
      </c>
      <c r="AD489" s="33" t="n">
        <f aca="false">IF(AQ489="7",BH489,0)</f>
        <v>0</v>
      </c>
      <c r="AE489" s="33" t="n">
        <f aca="false">IF(AQ489="7",BI489,0)</f>
        <v>0</v>
      </c>
      <c r="AF489" s="33" t="n">
        <f aca="false">IF(AQ489="2",BH489,0)</f>
        <v>0</v>
      </c>
      <c r="AG489" s="33" t="n">
        <f aca="false">IF(AQ489="2",BI489,0)</f>
        <v>0</v>
      </c>
      <c r="AH489" s="33" t="n">
        <f aca="false">IF(AQ489="0",BJ489,0)</f>
        <v>0</v>
      </c>
      <c r="AI489" s="18"/>
      <c r="AJ489" s="33" t="n">
        <f aca="false">IF(AN489=0,J489,0)</f>
        <v>0</v>
      </c>
      <c r="AK489" s="33" t="n">
        <f aca="false">IF(AN489=12,J489,0)</f>
        <v>0</v>
      </c>
      <c r="AL489" s="33" t="n">
        <f aca="false">IF(AN489=21,J489,0)</f>
        <v>0</v>
      </c>
      <c r="AN489" s="33" t="n">
        <v>12</v>
      </c>
      <c r="AO489" s="33" t="n">
        <f aca="false">G489*0</f>
        <v>0</v>
      </c>
      <c r="AP489" s="33" t="n">
        <f aca="false">G489*(1-0)</f>
        <v>0</v>
      </c>
      <c r="AQ489" s="35" t="s">
        <v>58</v>
      </c>
      <c r="AV489" s="33" t="n">
        <f aca="false">AW489+AX489</f>
        <v>0</v>
      </c>
      <c r="AW489" s="33" t="n">
        <f aca="false">F489*AO489</f>
        <v>0</v>
      </c>
      <c r="AX489" s="33" t="n">
        <f aca="false">F489*AP489</f>
        <v>0</v>
      </c>
      <c r="AY489" s="35" t="s">
        <v>917</v>
      </c>
      <c r="AZ489" s="35" t="s">
        <v>832</v>
      </c>
      <c r="BA489" s="18" t="s">
        <v>57</v>
      </c>
      <c r="BC489" s="33" t="n">
        <f aca="false">AW489+AX489</f>
        <v>0</v>
      </c>
      <c r="BD489" s="33" t="n">
        <f aca="false">G489/(100-BE489)*100</f>
        <v>0</v>
      </c>
      <c r="BE489" s="33" t="n">
        <v>0</v>
      </c>
      <c r="BF489" s="33" t="n">
        <f aca="false">497</f>
        <v>497</v>
      </c>
      <c r="BH489" s="33" t="n">
        <f aca="false">F489*AO489</f>
        <v>0</v>
      </c>
      <c r="BI489" s="33" t="n">
        <f aca="false">F489*AP489</f>
        <v>0</v>
      </c>
      <c r="BJ489" s="33" t="n">
        <f aca="false">F489*G489</f>
        <v>0</v>
      </c>
      <c r="BK489" s="33"/>
      <c r="BL489" s="33"/>
      <c r="BW489" s="33" t="n">
        <v>12</v>
      </c>
      <c r="BX489" s="9" t="s">
        <v>960</v>
      </c>
    </row>
    <row r="490" customFormat="false" ht="15" hidden="false" customHeight="false" outlineLevel="0" collapsed="false">
      <c r="A490" s="36"/>
      <c r="C490" s="37" t="s">
        <v>961</v>
      </c>
      <c r="D490" s="37"/>
      <c r="F490" s="38" t="n">
        <v>422</v>
      </c>
      <c r="K490" s="39"/>
    </row>
    <row r="491" customFormat="false" ht="15" hidden="false" customHeight="true" outlineLevel="0" collapsed="false">
      <c r="A491" s="32" t="s">
        <v>962</v>
      </c>
      <c r="B491" s="10" t="s">
        <v>963</v>
      </c>
      <c r="C491" s="9" t="s">
        <v>964</v>
      </c>
      <c r="D491" s="9"/>
      <c r="E491" s="10" t="s">
        <v>163</v>
      </c>
      <c r="F491" s="33" t="n">
        <v>70</v>
      </c>
      <c r="G491" s="33" t="n">
        <v>0</v>
      </c>
      <c r="H491" s="33" t="n">
        <f aca="false">F491*AO491</f>
        <v>0</v>
      </c>
      <c r="I491" s="33" t="n">
        <f aca="false">F491*AP491</f>
        <v>0</v>
      </c>
      <c r="J491" s="33" t="n">
        <f aca="false">F491*G491</f>
        <v>0</v>
      </c>
      <c r="K491" s="34" t="s">
        <v>55</v>
      </c>
      <c r="Z491" s="33" t="n">
        <f aca="false">IF(AQ491="5",BJ491,0)</f>
        <v>0</v>
      </c>
      <c r="AB491" s="33" t="n">
        <f aca="false">IF(AQ491="1",BH491,0)</f>
        <v>0</v>
      </c>
      <c r="AC491" s="33" t="n">
        <f aca="false">IF(AQ491="1",BI491,0)</f>
        <v>0</v>
      </c>
      <c r="AD491" s="33" t="n">
        <f aca="false">IF(AQ491="7",BH491,0)</f>
        <v>0</v>
      </c>
      <c r="AE491" s="33" t="n">
        <f aca="false">IF(AQ491="7",BI491,0)</f>
        <v>0</v>
      </c>
      <c r="AF491" s="33" t="n">
        <f aca="false">IF(AQ491="2",BH491,0)</f>
        <v>0</v>
      </c>
      <c r="AG491" s="33" t="n">
        <f aca="false">IF(AQ491="2",BI491,0)</f>
        <v>0</v>
      </c>
      <c r="AH491" s="33" t="n">
        <f aca="false">IF(AQ491="0",BJ491,0)</f>
        <v>0</v>
      </c>
      <c r="AI491" s="18"/>
      <c r="AJ491" s="33" t="n">
        <f aca="false">IF(AN491=0,J491,0)</f>
        <v>0</v>
      </c>
      <c r="AK491" s="33" t="n">
        <f aca="false">IF(AN491=12,J491,0)</f>
        <v>0</v>
      </c>
      <c r="AL491" s="33" t="n">
        <f aca="false">IF(AN491=21,J491,0)</f>
        <v>0</v>
      </c>
      <c r="AN491" s="33" t="n">
        <v>12</v>
      </c>
      <c r="AO491" s="33" t="n">
        <f aca="false">G491*0</f>
        <v>0</v>
      </c>
      <c r="AP491" s="33" t="n">
        <f aca="false">G491*(1-0)</f>
        <v>0</v>
      </c>
      <c r="AQ491" s="35" t="s">
        <v>58</v>
      </c>
      <c r="AV491" s="33" t="n">
        <f aca="false">AW491+AX491</f>
        <v>0</v>
      </c>
      <c r="AW491" s="33" t="n">
        <f aca="false">F491*AO491</f>
        <v>0</v>
      </c>
      <c r="AX491" s="33" t="n">
        <f aca="false">F491*AP491</f>
        <v>0</v>
      </c>
      <c r="AY491" s="35" t="s">
        <v>917</v>
      </c>
      <c r="AZ491" s="35" t="s">
        <v>832</v>
      </c>
      <c r="BA491" s="18" t="s">
        <v>57</v>
      </c>
      <c r="BC491" s="33" t="n">
        <f aca="false">AW491+AX491</f>
        <v>0</v>
      </c>
      <c r="BD491" s="33" t="n">
        <f aca="false">G491/(100-BE491)*100</f>
        <v>0</v>
      </c>
      <c r="BE491" s="33" t="n">
        <v>0</v>
      </c>
      <c r="BF491" s="33" t="n">
        <f aca="false">499</f>
        <v>499</v>
      </c>
      <c r="BH491" s="33" t="n">
        <f aca="false">F491*AO491</f>
        <v>0</v>
      </c>
      <c r="BI491" s="33" t="n">
        <f aca="false">F491*AP491</f>
        <v>0</v>
      </c>
      <c r="BJ491" s="33" t="n">
        <f aca="false">F491*G491</f>
        <v>0</v>
      </c>
      <c r="BK491" s="33"/>
      <c r="BL491" s="33"/>
      <c r="BW491" s="33" t="n">
        <v>12</v>
      </c>
      <c r="BX491" s="9" t="s">
        <v>964</v>
      </c>
    </row>
    <row r="492" customFormat="false" ht="15" hidden="false" customHeight="false" outlineLevel="0" collapsed="false">
      <c r="A492" s="36"/>
      <c r="C492" s="37" t="s">
        <v>441</v>
      </c>
      <c r="D492" s="37"/>
      <c r="F492" s="38" t="n">
        <v>70</v>
      </c>
      <c r="K492" s="39"/>
    </row>
    <row r="493" customFormat="false" ht="15" hidden="false" customHeight="true" outlineLevel="0" collapsed="false">
      <c r="A493" s="32" t="s">
        <v>965</v>
      </c>
      <c r="B493" s="10" t="s">
        <v>966</v>
      </c>
      <c r="C493" s="9" t="s">
        <v>967</v>
      </c>
      <c r="D493" s="9"/>
      <c r="E493" s="10" t="s">
        <v>163</v>
      </c>
      <c r="F493" s="33" t="n">
        <v>1</v>
      </c>
      <c r="G493" s="33" t="n">
        <v>0</v>
      </c>
      <c r="H493" s="33" t="n">
        <f aca="false">F493*AO493</f>
        <v>0</v>
      </c>
      <c r="I493" s="33" t="n">
        <f aca="false">F493*AP493</f>
        <v>0</v>
      </c>
      <c r="J493" s="33" t="n">
        <f aca="false">F493*G493</f>
        <v>0</v>
      </c>
      <c r="K493" s="34" t="s">
        <v>55</v>
      </c>
      <c r="Z493" s="33" t="n">
        <f aca="false">IF(AQ493="5",BJ493,0)</f>
        <v>0</v>
      </c>
      <c r="AB493" s="33" t="n">
        <f aca="false">IF(AQ493="1",BH493,0)</f>
        <v>0</v>
      </c>
      <c r="AC493" s="33" t="n">
        <f aca="false">IF(AQ493="1",BI493,0)</f>
        <v>0</v>
      </c>
      <c r="AD493" s="33" t="n">
        <f aca="false">IF(AQ493="7",BH493,0)</f>
        <v>0</v>
      </c>
      <c r="AE493" s="33" t="n">
        <f aca="false">IF(AQ493="7",BI493,0)</f>
        <v>0</v>
      </c>
      <c r="AF493" s="33" t="n">
        <f aca="false">IF(AQ493="2",BH493,0)</f>
        <v>0</v>
      </c>
      <c r="AG493" s="33" t="n">
        <f aca="false">IF(AQ493="2",BI493,0)</f>
        <v>0</v>
      </c>
      <c r="AH493" s="33" t="n">
        <f aca="false">IF(AQ493="0",BJ493,0)</f>
        <v>0</v>
      </c>
      <c r="AI493" s="18"/>
      <c r="AJ493" s="33" t="n">
        <f aca="false">IF(AN493=0,J493,0)</f>
        <v>0</v>
      </c>
      <c r="AK493" s="33" t="n">
        <f aca="false">IF(AN493=12,J493,0)</f>
        <v>0</v>
      </c>
      <c r="AL493" s="33" t="n">
        <f aca="false">IF(AN493=21,J493,0)</f>
        <v>0</v>
      </c>
      <c r="AN493" s="33" t="n">
        <v>12</v>
      </c>
      <c r="AO493" s="33" t="n">
        <f aca="false">G493*0</f>
        <v>0</v>
      </c>
      <c r="AP493" s="33" t="n">
        <f aca="false">G493*(1-0)</f>
        <v>0</v>
      </c>
      <c r="AQ493" s="35" t="s">
        <v>58</v>
      </c>
      <c r="AV493" s="33" t="n">
        <f aca="false">AW493+AX493</f>
        <v>0</v>
      </c>
      <c r="AW493" s="33" t="n">
        <f aca="false">F493*AO493</f>
        <v>0</v>
      </c>
      <c r="AX493" s="33" t="n">
        <f aca="false">F493*AP493</f>
        <v>0</v>
      </c>
      <c r="AY493" s="35" t="s">
        <v>917</v>
      </c>
      <c r="AZ493" s="35" t="s">
        <v>832</v>
      </c>
      <c r="BA493" s="18" t="s">
        <v>57</v>
      </c>
      <c r="BC493" s="33" t="n">
        <f aca="false">AW493+AX493</f>
        <v>0</v>
      </c>
      <c r="BD493" s="33" t="n">
        <f aca="false">G493/(100-BE493)*100</f>
        <v>0</v>
      </c>
      <c r="BE493" s="33" t="n">
        <v>0</v>
      </c>
      <c r="BF493" s="33" t="n">
        <f aca="false">501</f>
        <v>501</v>
      </c>
      <c r="BH493" s="33" t="n">
        <f aca="false">F493*AO493</f>
        <v>0</v>
      </c>
      <c r="BI493" s="33" t="n">
        <f aca="false">F493*AP493</f>
        <v>0</v>
      </c>
      <c r="BJ493" s="33" t="n">
        <f aca="false">F493*G493</f>
        <v>0</v>
      </c>
      <c r="BK493" s="33"/>
      <c r="BL493" s="33"/>
      <c r="BW493" s="33" t="n">
        <v>12</v>
      </c>
      <c r="BX493" s="9" t="s">
        <v>967</v>
      </c>
    </row>
    <row r="494" customFormat="false" ht="15" hidden="false" customHeight="false" outlineLevel="0" collapsed="false">
      <c r="A494" s="36"/>
      <c r="C494" s="37" t="s">
        <v>51</v>
      </c>
      <c r="D494" s="37"/>
      <c r="F494" s="38" t="n">
        <v>1</v>
      </c>
      <c r="K494" s="39"/>
    </row>
    <row r="495" customFormat="false" ht="15" hidden="false" customHeight="true" outlineLevel="0" collapsed="false">
      <c r="A495" s="32" t="s">
        <v>968</v>
      </c>
      <c r="B495" s="10" t="s">
        <v>914</v>
      </c>
      <c r="C495" s="9" t="s">
        <v>969</v>
      </c>
      <c r="D495" s="9"/>
      <c r="E495" s="10" t="s">
        <v>163</v>
      </c>
      <c r="F495" s="33" t="n">
        <v>1</v>
      </c>
      <c r="G495" s="33" t="n">
        <v>0</v>
      </c>
      <c r="H495" s="33" t="n">
        <f aca="false">F495*AO495</f>
        <v>0</v>
      </c>
      <c r="I495" s="33" t="n">
        <f aca="false">F495*AP495</f>
        <v>0</v>
      </c>
      <c r="J495" s="33" t="n">
        <f aca="false">F495*G495</f>
        <v>0</v>
      </c>
      <c r="K495" s="34" t="s">
        <v>55</v>
      </c>
      <c r="Z495" s="33" t="n">
        <f aca="false">IF(AQ495="5",BJ495,0)</f>
        <v>0</v>
      </c>
      <c r="AB495" s="33" t="n">
        <f aca="false">IF(AQ495="1",BH495,0)</f>
        <v>0</v>
      </c>
      <c r="AC495" s="33" t="n">
        <f aca="false">IF(AQ495="1",BI495,0)</f>
        <v>0</v>
      </c>
      <c r="AD495" s="33" t="n">
        <f aca="false">IF(AQ495="7",BH495,0)</f>
        <v>0</v>
      </c>
      <c r="AE495" s="33" t="n">
        <f aca="false">IF(AQ495="7",BI495,0)</f>
        <v>0</v>
      </c>
      <c r="AF495" s="33" t="n">
        <f aca="false">IF(AQ495="2",BH495,0)</f>
        <v>0</v>
      </c>
      <c r="AG495" s="33" t="n">
        <f aca="false">IF(AQ495="2",BI495,0)</f>
        <v>0</v>
      </c>
      <c r="AH495" s="33" t="n">
        <f aca="false">IF(AQ495="0",BJ495,0)</f>
        <v>0</v>
      </c>
      <c r="AI495" s="18"/>
      <c r="AJ495" s="33" t="n">
        <f aca="false">IF(AN495=0,J495,0)</f>
        <v>0</v>
      </c>
      <c r="AK495" s="33" t="n">
        <f aca="false">IF(AN495=12,J495,0)</f>
        <v>0</v>
      </c>
      <c r="AL495" s="33" t="n">
        <f aca="false">IF(AN495=21,J495,0)</f>
        <v>0</v>
      </c>
      <c r="AN495" s="33" t="n">
        <v>12</v>
      </c>
      <c r="AO495" s="33" t="n">
        <f aca="false">G495*1</f>
        <v>0</v>
      </c>
      <c r="AP495" s="33" t="n">
        <f aca="false">G495*(1-1)</f>
        <v>0</v>
      </c>
      <c r="AQ495" s="35" t="s">
        <v>58</v>
      </c>
      <c r="AV495" s="33" t="n">
        <f aca="false">AW495+AX495</f>
        <v>0</v>
      </c>
      <c r="AW495" s="33" t="n">
        <f aca="false">F495*AO495</f>
        <v>0</v>
      </c>
      <c r="AX495" s="33" t="n">
        <f aca="false">F495*AP495</f>
        <v>0</v>
      </c>
      <c r="AY495" s="35" t="s">
        <v>917</v>
      </c>
      <c r="AZ495" s="35" t="s">
        <v>832</v>
      </c>
      <c r="BA495" s="18" t="s">
        <v>57</v>
      </c>
      <c r="BC495" s="33" t="n">
        <f aca="false">AW495+AX495</f>
        <v>0</v>
      </c>
      <c r="BD495" s="33" t="n">
        <f aca="false">G495/(100-BE495)*100</f>
        <v>0</v>
      </c>
      <c r="BE495" s="33" t="n">
        <v>0</v>
      </c>
      <c r="BF495" s="33" t="n">
        <f aca="false">503</f>
        <v>503</v>
      </c>
      <c r="BH495" s="33" t="n">
        <f aca="false">F495*AO495</f>
        <v>0</v>
      </c>
      <c r="BI495" s="33" t="n">
        <f aca="false">F495*AP495</f>
        <v>0</v>
      </c>
      <c r="BJ495" s="33" t="n">
        <f aca="false">F495*G495</f>
        <v>0</v>
      </c>
      <c r="BK495" s="33"/>
      <c r="BL495" s="33"/>
      <c r="BW495" s="33" t="n">
        <v>12</v>
      </c>
      <c r="BX495" s="9" t="s">
        <v>969</v>
      </c>
    </row>
    <row r="496" customFormat="false" ht="15" hidden="false" customHeight="false" outlineLevel="0" collapsed="false">
      <c r="A496" s="36"/>
      <c r="C496" s="37" t="s">
        <v>51</v>
      </c>
      <c r="D496" s="37"/>
      <c r="F496" s="38" t="n">
        <v>1</v>
      </c>
      <c r="K496" s="39"/>
    </row>
    <row r="497" customFormat="false" ht="15" hidden="false" customHeight="true" outlineLevel="0" collapsed="false">
      <c r="A497" s="32" t="s">
        <v>970</v>
      </c>
      <c r="B497" s="10" t="s">
        <v>971</v>
      </c>
      <c r="C497" s="9" t="s">
        <v>972</v>
      </c>
      <c r="D497" s="9"/>
      <c r="E497" s="10" t="s">
        <v>163</v>
      </c>
      <c r="F497" s="33" t="n">
        <v>23</v>
      </c>
      <c r="G497" s="33" t="n">
        <v>0</v>
      </c>
      <c r="H497" s="33" t="n">
        <f aca="false">F497*AO497</f>
        <v>0</v>
      </c>
      <c r="I497" s="33" t="n">
        <f aca="false">F497*AP497</f>
        <v>0</v>
      </c>
      <c r="J497" s="33" t="n">
        <f aca="false">F497*G497</f>
        <v>0</v>
      </c>
      <c r="K497" s="34" t="s">
        <v>55</v>
      </c>
      <c r="Z497" s="33" t="n">
        <f aca="false">IF(AQ497="5",BJ497,0)</f>
        <v>0</v>
      </c>
      <c r="AB497" s="33" t="n">
        <f aca="false">IF(AQ497="1",BH497,0)</f>
        <v>0</v>
      </c>
      <c r="AC497" s="33" t="n">
        <f aca="false">IF(AQ497="1",BI497,0)</f>
        <v>0</v>
      </c>
      <c r="AD497" s="33" t="n">
        <f aca="false">IF(AQ497="7",BH497,0)</f>
        <v>0</v>
      </c>
      <c r="AE497" s="33" t="n">
        <f aca="false">IF(AQ497="7",BI497,0)</f>
        <v>0</v>
      </c>
      <c r="AF497" s="33" t="n">
        <f aca="false">IF(AQ497="2",BH497,0)</f>
        <v>0</v>
      </c>
      <c r="AG497" s="33" t="n">
        <f aca="false">IF(AQ497="2",BI497,0)</f>
        <v>0</v>
      </c>
      <c r="AH497" s="33" t="n">
        <f aca="false">IF(AQ497="0",BJ497,0)</f>
        <v>0</v>
      </c>
      <c r="AI497" s="18"/>
      <c r="AJ497" s="33" t="n">
        <f aca="false">IF(AN497=0,J497,0)</f>
        <v>0</v>
      </c>
      <c r="AK497" s="33" t="n">
        <f aca="false">IF(AN497=12,J497,0)</f>
        <v>0</v>
      </c>
      <c r="AL497" s="33" t="n">
        <f aca="false">IF(AN497=21,J497,0)</f>
        <v>0</v>
      </c>
      <c r="AN497" s="33" t="n">
        <v>12</v>
      </c>
      <c r="AO497" s="33" t="n">
        <f aca="false">G497*0.440194932</f>
        <v>0</v>
      </c>
      <c r="AP497" s="33" t="n">
        <f aca="false">G497*(1-0.440194932)</f>
        <v>0</v>
      </c>
      <c r="AQ497" s="35" t="s">
        <v>58</v>
      </c>
      <c r="AV497" s="33" t="n">
        <f aca="false">AW497+AX497</f>
        <v>0</v>
      </c>
      <c r="AW497" s="33" t="n">
        <f aca="false">F497*AO497</f>
        <v>0</v>
      </c>
      <c r="AX497" s="33" t="n">
        <f aca="false">F497*AP497</f>
        <v>0</v>
      </c>
      <c r="AY497" s="35" t="s">
        <v>917</v>
      </c>
      <c r="AZ497" s="35" t="s">
        <v>832</v>
      </c>
      <c r="BA497" s="18" t="s">
        <v>57</v>
      </c>
      <c r="BC497" s="33" t="n">
        <f aca="false">AW497+AX497</f>
        <v>0</v>
      </c>
      <c r="BD497" s="33" t="n">
        <f aca="false">G497/(100-BE497)*100</f>
        <v>0</v>
      </c>
      <c r="BE497" s="33" t="n">
        <v>0</v>
      </c>
      <c r="BF497" s="33" t="n">
        <f aca="false">505</f>
        <v>505</v>
      </c>
      <c r="BH497" s="33" t="n">
        <f aca="false">F497*AO497</f>
        <v>0</v>
      </c>
      <c r="BI497" s="33" t="n">
        <f aca="false">F497*AP497</f>
        <v>0</v>
      </c>
      <c r="BJ497" s="33" t="n">
        <f aca="false">F497*G497</f>
        <v>0</v>
      </c>
      <c r="BK497" s="33"/>
      <c r="BL497" s="33"/>
      <c r="BW497" s="33" t="n">
        <v>12</v>
      </c>
      <c r="BX497" s="9" t="s">
        <v>972</v>
      </c>
    </row>
    <row r="498" customFormat="false" ht="15" hidden="false" customHeight="false" outlineLevel="0" collapsed="false">
      <c r="A498" s="36"/>
      <c r="C498" s="37" t="s">
        <v>184</v>
      </c>
      <c r="D498" s="37"/>
      <c r="F498" s="38" t="n">
        <v>23</v>
      </c>
      <c r="K498" s="39"/>
    </row>
    <row r="499" customFormat="false" ht="15" hidden="false" customHeight="true" outlineLevel="0" collapsed="false">
      <c r="A499" s="32" t="s">
        <v>973</v>
      </c>
      <c r="B499" s="10" t="s">
        <v>974</v>
      </c>
      <c r="C499" s="9" t="s">
        <v>975</v>
      </c>
      <c r="D499" s="9"/>
      <c r="E499" s="10" t="s">
        <v>163</v>
      </c>
      <c r="F499" s="33" t="n">
        <v>36</v>
      </c>
      <c r="G499" s="33" t="n">
        <v>0</v>
      </c>
      <c r="H499" s="33" t="n">
        <f aca="false">F499*AO499</f>
        <v>0</v>
      </c>
      <c r="I499" s="33" t="n">
        <f aca="false">F499*AP499</f>
        <v>0</v>
      </c>
      <c r="J499" s="33" t="n">
        <f aca="false">F499*G499</f>
        <v>0</v>
      </c>
      <c r="K499" s="34" t="s">
        <v>55</v>
      </c>
      <c r="Z499" s="33" t="n">
        <f aca="false">IF(AQ499="5",BJ499,0)</f>
        <v>0</v>
      </c>
      <c r="AB499" s="33" t="n">
        <f aca="false">IF(AQ499="1",BH499,0)</f>
        <v>0</v>
      </c>
      <c r="AC499" s="33" t="n">
        <f aca="false">IF(AQ499="1",BI499,0)</f>
        <v>0</v>
      </c>
      <c r="AD499" s="33" t="n">
        <f aca="false">IF(AQ499="7",BH499,0)</f>
        <v>0</v>
      </c>
      <c r="AE499" s="33" t="n">
        <f aca="false">IF(AQ499="7",BI499,0)</f>
        <v>0</v>
      </c>
      <c r="AF499" s="33" t="n">
        <f aca="false">IF(AQ499="2",BH499,0)</f>
        <v>0</v>
      </c>
      <c r="AG499" s="33" t="n">
        <f aca="false">IF(AQ499="2",BI499,0)</f>
        <v>0</v>
      </c>
      <c r="AH499" s="33" t="n">
        <f aca="false">IF(AQ499="0",BJ499,0)</f>
        <v>0</v>
      </c>
      <c r="AI499" s="18"/>
      <c r="AJ499" s="33" t="n">
        <f aca="false">IF(AN499=0,J499,0)</f>
        <v>0</v>
      </c>
      <c r="AK499" s="33" t="n">
        <f aca="false">IF(AN499=12,J499,0)</f>
        <v>0</v>
      </c>
      <c r="AL499" s="33" t="n">
        <f aca="false">IF(AN499=21,J499,0)</f>
        <v>0</v>
      </c>
      <c r="AN499" s="33" t="n">
        <v>12</v>
      </c>
      <c r="AO499" s="33" t="n">
        <f aca="false">G499*0.485896147</f>
        <v>0</v>
      </c>
      <c r="AP499" s="33" t="n">
        <f aca="false">G499*(1-0.485896147)</f>
        <v>0</v>
      </c>
      <c r="AQ499" s="35" t="s">
        <v>58</v>
      </c>
      <c r="AV499" s="33" t="n">
        <f aca="false">AW499+AX499</f>
        <v>0</v>
      </c>
      <c r="AW499" s="33" t="n">
        <f aca="false">F499*AO499</f>
        <v>0</v>
      </c>
      <c r="AX499" s="33" t="n">
        <f aca="false">F499*AP499</f>
        <v>0</v>
      </c>
      <c r="AY499" s="35" t="s">
        <v>917</v>
      </c>
      <c r="AZ499" s="35" t="s">
        <v>832</v>
      </c>
      <c r="BA499" s="18" t="s">
        <v>57</v>
      </c>
      <c r="BC499" s="33" t="n">
        <f aca="false">AW499+AX499</f>
        <v>0</v>
      </c>
      <c r="BD499" s="33" t="n">
        <f aca="false">G499/(100-BE499)*100</f>
        <v>0</v>
      </c>
      <c r="BE499" s="33" t="n">
        <v>0</v>
      </c>
      <c r="BF499" s="33" t="n">
        <f aca="false">507</f>
        <v>507</v>
      </c>
      <c r="BH499" s="33" t="n">
        <f aca="false">F499*AO499</f>
        <v>0</v>
      </c>
      <c r="BI499" s="33" t="n">
        <f aca="false">F499*AP499</f>
        <v>0</v>
      </c>
      <c r="BJ499" s="33" t="n">
        <f aca="false">F499*G499</f>
        <v>0</v>
      </c>
      <c r="BK499" s="33"/>
      <c r="BL499" s="33"/>
      <c r="BW499" s="33" t="n">
        <v>12</v>
      </c>
      <c r="BX499" s="9" t="s">
        <v>975</v>
      </c>
    </row>
    <row r="500" customFormat="false" ht="15" hidden="false" customHeight="false" outlineLevel="0" collapsed="false">
      <c r="A500" s="36"/>
      <c r="C500" s="37" t="s">
        <v>258</v>
      </c>
      <c r="D500" s="37"/>
      <c r="F500" s="38" t="n">
        <v>36</v>
      </c>
      <c r="K500" s="39"/>
    </row>
    <row r="501" customFormat="false" ht="15" hidden="false" customHeight="true" outlineLevel="0" collapsed="false">
      <c r="A501" s="32" t="s">
        <v>976</v>
      </c>
      <c r="B501" s="10" t="s">
        <v>977</v>
      </c>
      <c r="C501" s="9" t="s">
        <v>978</v>
      </c>
      <c r="D501" s="9"/>
      <c r="E501" s="10" t="s">
        <v>54</v>
      </c>
      <c r="F501" s="33" t="n">
        <v>1</v>
      </c>
      <c r="G501" s="33" t="n">
        <v>0</v>
      </c>
      <c r="H501" s="33" t="n">
        <f aca="false">F501*AO501</f>
        <v>0</v>
      </c>
      <c r="I501" s="33" t="n">
        <f aca="false">F501*AP501</f>
        <v>0</v>
      </c>
      <c r="J501" s="33" t="n">
        <f aca="false">F501*G501</f>
        <v>0</v>
      </c>
      <c r="K501" s="34" t="s">
        <v>55</v>
      </c>
      <c r="Z501" s="33" t="n">
        <f aca="false">IF(AQ501="5",BJ501,0)</f>
        <v>0</v>
      </c>
      <c r="AB501" s="33" t="n">
        <f aca="false">IF(AQ501="1",BH501,0)</f>
        <v>0</v>
      </c>
      <c r="AC501" s="33" t="n">
        <f aca="false">IF(AQ501="1",BI501,0)</f>
        <v>0</v>
      </c>
      <c r="AD501" s="33" t="n">
        <f aca="false">IF(AQ501="7",BH501,0)</f>
        <v>0</v>
      </c>
      <c r="AE501" s="33" t="n">
        <f aca="false">IF(AQ501="7",BI501,0)</f>
        <v>0</v>
      </c>
      <c r="AF501" s="33" t="n">
        <f aca="false">IF(AQ501="2",BH501,0)</f>
        <v>0</v>
      </c>
      <c r="AG501" s="33" t="n">
        <f aca="false">IF(AQ501="2",BI501,0)</f>
        <v>0</v>
      </c>
      <c r="AH501" s="33" t="n">
        <f aca="false">IF(AQ501="0",BJ501,0)</f>
        <v>0</v>
      </c>
      <c r="AI501" s="18"/>
      <c r="AJ501" s="33" t="n">
        <f aca="false">IF(AN501=0,J501,0)</f>
        <v>0</v>
      </c>
      <c r="AK501" s="33" t="n">
        <f aca="false">IF(AN501=12,J501,0)</f>
        <v>0</v>
      </c>
      <c r="AL501" s="33" t="n">
        <f aca="false">IF(AN501=21,J501,0)</f>
        <v>0</v>
      </c>
      <c r="AN501" s="33" t="n">
        <v>12</v>
      </c>
      <c r="AO501" s="33" t="n">
        <f aca="false">G501*0</f>
        <v>0</v>
      </c>
      <c r="AP501" s="33" t="n">
        <f aca="false">G501*(1-0)</f>
        <v>0</v>
      </c>
      <c r="AQ501" s="35" t="s">
        <v>58</v>
      </c>
      <c r="AV501" s="33" t="n">
        <f aca="false">AW501+AX501</f>
        <v>0</v>
      </c>
      <c r="AW501" s="33" t="n">
        <f aca="false">F501*AO501</f>
        <v>0</v>
      </c>
      <c r="AX501" s="33" t="n">
        <f aca="false">F501*AP501</f>
        <v>0</v>
      </c>
      <c r="AY501" s="35" t="s">
        <v>917</v>
      </c>
      <c r="AZ501" s="35" t="s">
        <v>832</v>
      </c>
      <c r="BA501" s="18" t="s">
        <v>57</v>
      </c>
      <c r="BC501" s="33" t="n">
        <f aca="false">AW501+AX501</f>
        <v>0</v>
      </c>
      <c r="BD501" s="33" t="n">
        <f aca="false">G501/(100-BE501)*100</f>
        <v>0</v>
      </c>
      <c r="BE501" s="33" t="n">
        <v>0</v>
      </c>
      <c r="BF501" s="33" t="n">
        <f aca="false">509</f>
        <v>509</v>
      </c>
      <c r="BH501" s="33" t="n">
        <f aca="false">F501*AO501</f>
        <v>0</v>
      </c>
      <c r="BI501" s="33" t="n">
        <f aca="false">F501*AP501</f>
        <v>0</v>
      </c>
      <c r="BJ501" s="33" t="n">
        <f aca="false">F501*G501</f>
        <v>0</v>
      </c>
      <c r="BK501" s="33"/>
      <c r="BL501" s="33"/>
      <c r="BW501" s="33" t="n">
        <v>12</v>
      </c>
      <c r="BX501" s="9" t="s">
        <v>978</v>
      </c>
    </row>
    <row r="502" customFormat="false" ht="15" hidden="false" customHeight="false" outlineLevel="0" collapsed="false">
      <c r="A502" s="36"/>
      <c r="C502" s="37" t="s">
        <v>51</v>
      </c>
      <c r="D502" s="37"/>
      <c r="F502" s="38" t="n">
        <v>1</v>
      </c>
      <c r="K502" s="39"/>
    </row>
    <row r="503" customFormat="false" ht="15" hidden="false" customHeight="true" outlineLevel="0" collapsed="false">
      <c r="A503" s="32" t="s">
        <v>979</v>
      </c>
      <c r="B503" s="10" t="s">
        <v>980</v>
      </c>
      <c r="C503" s="9" t="s">
        <v>981</v>
      </c>
      <c r="D503" s="9"/>
      <c r="E503" s="10" t="s">
        <v>54</v>
      </c>
      <c r="F503" s="33" t="n">
        <v>1</v>
      </c>
      <c r="G503" s="33" t="n">
        <v>0</v>
      </c>
      <c r="H503" s="33" t="n">
        <f aca="false">F503*AO503</f>
        <v>0</v>
      </c>
      <c r="I503" s="33" t="n">
        <f aca="false">F503*AP503</f>
        <v>0</v>
      </c>
      <c r="J503" s="33" t="n">
        <f aca="false">F503*G503</f>
        <v>0</v>
      </c>
      <c r="K503" s="34" t="s">
        <v>55</v>
      </c>
      <c r="Z503" s="33" t="n">
        <f aca="false">IF(AQ503="5",BJ503,0)</f>
        <v>0</v>
      </c>
      <c r="AB503" s="33" t="n">
        <f aca="false">IF(AQ503="1",BH503,0)</f>
        <v>0</v>
      </c>
      <c r="AC503" s="33" t="n">
        <f aca="false">IF(AQ503="1",BI503,0)</f>
        <v>0</v>
      </c>
      <c r="AD503" s="33" t="n">
        <f aca="false">IF(AQ503="7",BH503,0)</f>
        <v>0</v>
      </c>
      <c r="AE503" s="33" t="n">
        <f aca="false">IF(AQ503="7",BI503,0)</f>
        <v>0</v>
      </c>
      <c r="AF503" s="33" t="n">
        <f aca="false">IF(AQ503="2",BH503,0)</f>
        <v>0</v>
      </c>
      <c r="AG503" s="33" t="n">
        <f aca="false">IF(AQ503="2",BI503,0)</f>
        <v>0</v>
      </c>
      <c r="AH503" s="33" t="n">
        <f aca="false">IF(AQ503="0",BJ503,0)</f>
        <v>0</v>
      </c>
      <c r="AI503" s="18"/>
      <c r="AJ503" s="33" t="n">
        <f aca="false">IF(AN503=0,J503,0)</f>
        <v>0</v>
      </c>
      <c r="AK503" s="33" t="n">
        <f aca="false">IF(AN503=12,J503,0)</f>
        <v>0</v>
      </c>
      <c r="AL503" s="33" t="n">
        <f aca="false">IF(AN503=21,J503,0)</f>
        <v>0</v>
      </c>
      <c r="AN503" s="33" t="n">
        <v>12</v>
      </c>
      <c r="AO503" s="33" t="n">
        <f aca="false">G503*0</f>
        <v>0</v>
      </c>
      <c r="AP503" s="33" t="n">
        <f aca="false">G503*(1-0)</f>
        <v>0</v>
      </c>
      <c r="AQ503" s="35" t="s">
        <v>58</v>
      </c>
      <c r="AV503" s="33" t="n">
        <f aca="false">AW503+AX503</f>
        <v>0</v>
      </c>
      <c r="AW503" s="33" t="n">
        <f aca="false">F503*AO503</f>
        <v>0</v>
      </c>
      <c r="AX503" s="33" t="n">
        <f aca="false">F503*AP503</f>
        <v>0</v>
      </c>
      <c r="AY503" s="35" t="s">
        <v>917</v>
      </c>
      <c r="AZ503" s="35" t="s">
        <v>832</v>
      </c>
      <c r="BA503" s="18" t="s">
        <v>57</v>
      </c>
      <c r="BC503" s="33" t="n">
        <f aca="false">AW503+AX503</f>
        <v>0</v>
      </c>
      <c r="BD503" s="33" t="n">
        <f aca="false">G503/(100-BE503)*100</f>
        <v>0</v>
      </c>
      <c r="BE503" s="33" t="n">
        <v>0</v>
      </c>
      <c r="BF503" s="33" t="n">
        <f aca="false">511</f>
        <v>511</v>
      </c>
      <c r="BH503" s="33" t="n">
        <f aca="false">F503*AO503</f>
        <v>0</v>
      </c>
      <c r="BI503" s="33" t="n">
        <f aca="false">F503*AP503</f>
        <v>0</v>
      </c>
      <c r="BJ503" s="33" t="n">
        <f aca="false">F503*G503</f>
        <v>0</v>
      </c>
      <c r="BK503" s="33"/>
      <c r="BL503" s="33"/>
      <c r="BW503" s="33" t="n">
        <v>12</v>
      </c>
      <c r="BX503" s="9" t="s">
        <v>981</v>
      </c>
    </row>
    <row r="504" customFormat="false" ht="15" hidden="false" customHeight="false" outlineLevel="0" collapsed="false">
      <c r="A504" s="36"/>
      <c r="C504" s="37" t="s">
        <v>51</v>
      </c>
      <c r="D504" s="37"/>
      <c r="F504" s="38" t="n">
        <v>1</v>
      </c>
      <c r="K504" s="39"/>
    </row>
    <row r="505" customFormat="false" ht="15" hidden="false" customHeight="true" outlineLevel="0" collapsed="false">
      <c r="A505" s="32" t="s">
        <v>982</v>
      </c>
      <c r="B505" s="10" t="s">
        <v>983</v>
      </c>
      <c r="C505" s="9" t="s">
        <v>984</v>
      </c>
      <c r="D505" s="9"/>
      <c r="E505" s="10" t="s">
        <v>54</v>
      </c>
      <c r="F505" s="33" t="n">
        <v>1</v>
      </c>
      <c r="G505" s="33" t="n">
        <v>0</v>
      </c>
      <c r="H505" s="33" t="n">
        <f aca="false">F505*AO505</f>
        <v>0</v>
      </c>
      <c r="I505" s="33" t="n">
        <f aca="false">F505*AP505</f>
        <v>0</v>
      </c>
      <c r="J505" s="33" t="n">
        <f aca="false">F505*G505</f>
        <v>0</v>
      </c>
      <c r="K505" s="34" t="s">
        <v>55</v>
      </c>
      <c r="Z505" s="33" t="n">
        <f aca="false">IF(AQ505="5",BJ505,0)</f>
        <v>0</v>
      </c>
      <c r="AB505" s="33" t="n">
        <f aca="false">IF(AQ505="1",BH505,0)</f>
        <v>0</v>
      </c>
      <c r="AC505" s="33" t="n">
        <f aca="false">IF(AQ505="1",BI505,0)</f>
        <v>0</v>
      </c>
      <c r="AD505" s="33" t="n">
        <f aca="false">IF(AQ505="7",BH505,0)</f>
        <v>0</v>
      </c>
      <c r="AE505" s="33" t="n">
        <f aca="false">IF(AQ505="7",BI505,0)</f>
        <v>0</v>
      </c>
      <c r="AF505" s="33" t="n">
        <f aca="false">IF(AQ505="2",BH505,0)</f>
        <v>0</v>
      </c>
      <c r="AG505" s="33" t="n">
        <f aca="false">IF(AQ505="2",BI505,0)</f>
        <v>0</v>
      </c>
      <c r="AH505" s="33" t="n">
        <f aca="false">IF(AQ505="0",BJ505,0)</f>
        <v>0</v>
      </c>
      <c r="AI505" s="18"/>
      <c r="AJ505" s="33" t="n">
        <f aca="false">IF(AN505=0,J505,0)</f>
        <v>0</v>
      </c>
      <c r="AK505" s="33" t="n">
        <f aca="false">IF(AN505=12,J505,0)</f>
        <v>0</v>
      </c>
      <c r="AL505" s="33" t="n">
        <f aca="false">IF(AN505=21,J505,0)</f>
        <v>0</v>
      </c>
      <c r="AN505" s="33" t="n">
        <v>12</v>
      </c>
      <c r="AO505" s="33" t="n">
        <f aca="false">G505*0</f>
        <v>0</v>
      </c>
      <c r="AP505" s="33" t="n">
        <f aca="false">G505*(1-0)</f>
        <v>0</v>
      </c>
      <c r="AQ505" s="35" t="s">
        <v>58</v>
      </c>
      <c r="AV505" s="33" t="n">
        <f aca="false">AW505+AX505</f>
        <v>0</v>
      </c>
      <c r="AW505" s="33" t="n">
        <f aca="false">F505*AO505</f>
        <v>0</v>
      </c>
      <c r="AX505" s="33" t="n">
        <f aca="false">F505*AP505</f>
        <v>0</v>
      </c>
      <c r="AY505" s="35" t="s">
        <v>917</v>
      </c>
      <c r="AZ505" s="35" t="s">
        <v>832</v>
      </c>
      <c r="BA505" s="18" t="s">
        <v>57</v>
      </c>
      <c r="BC505" s="33" t="n">
        <f aca="false">AW505+AX505</f>
        <v>0</v>
      </c>
      <c r="BD505" s="33" t="n">
        <f aca="false">G505/(100-BE505)*100</f>
        <v>0</v>
      </c>
      <c r="BE505" s="33" t="n">
        <v>0</v>
      </c>
      <c r="BF505" s="33" t="n">
        <f aca="false">513</f>
        <v>513</v>
      </c>
      <c r="BH505" s="33" t="n">
        <f aca="false">F505*AO505</f>
        <v>0</v>
      </c>
      <c r="BI505" s="33" t="n">
        <f aca="false">F505*AP505</f>
        <v>0</v>
      </c>
      <c r="BJ505" s="33" t="n">
        <f aca="false">F505*G505</f>
        <v>0</v>
      </c>
      <c r="BK505" s="33"/>
      <c r="BL505" s="33"/>
      <c r="BW505" s="33" t="n">
        <v>12</v>
      </c>
      <c r="BX505" s="9" t="s">
        <v>984</v>
      </c>
    </row>
    <row r="506" customFormat="false" ht="15" hidden="false" customHeight="false" outlineLevel="0" collapsed="false">
      <c r="A506" s="36"/>
      <c r="C506" s="37" t="s">
        <v>51</v>
      </c>
      <c r="D506" s="37"/>
      <c r="F506" s="38" t="n">
        <v>1</v>
      </c>
      <c r="K506" s="39"/>
    </row>
    <row r="507" customFormat="false" ht="15" hidden="false" customHeight="true" outlineLevel="0" collapsed="false">
      <c r="A507" s="32" t="s">
        <v>985</v>
      </c>
      <c r="B507" s="10" t="s">
        <v>986</v>
      </c>
      <c r="C507" s="9" t="s">
        <v>987</v>
      </c>
      <c r="D507" s="9"/>
      <c r="E507" s="10" t="s">
        <v>91</v>
      </c>
      <c r="F507" s="33" t="n">
        <v>40</v>
      </c>
      <c r="G507" s="33" t="n">
        <v>0</v>
      </c>
      <c r="H507" s="33" t="n">
        <f aca="false">F507*AO507</f>
        <v>0</v>
      </c>
      <c r="I507" s="33" t="n">
        <f aca="false">F507*AP507</f>
        <v>0</v>
      </c>
      <c r="J507" s="33" t="n">
        <f aca="false">F507*G507</f>
        <v>0</v>
      </c>
      <c r="K507" s="34" t="s">
        <v>55</v>
      </c>
      <c r="Z507" s="33" t="n">
        <f aca="false">IF(AQ507="5",BJ507,0)</f>
        <v>0</v>
      </c>
      <c r="AB507" s="33" t="n">
        <f aca="false">IF(AQ507="1",BH507,0)</f>
        <v>0</v>
      </c>
      <c r="AC507" s="33" t="n">
        <f aca="false">IF(AQ507="1",BI507,0)</f>
        <v>0</v>
      </c>
      <c r="AD507" s="33" t="n">
        <f aca="false">IF(AQ507="7",BH507,0)</f>
        <v>0</v>
      </c>
      <c r="AE507" s="33" t="n">
        <f aca="false">IF(AQ507="7",BI507,0)</f>
        <v>0</v>
      </c>
      <c r="AF507" s="33" t="n">
        <f aca="false">IF(AQ507="2",BH507,0)</f>
        <v>0</v>
      </c>
      <c r="AG507" s="33" t="n">
        <f aca="false">IF(AQ507="2",BI507,0)</f>
        <v>0</v>
      </c>
      <c r="AH507" s="33" t="n">
        <f aca="false">IF(AQ507="0",BJ507,0)</f>
        <v>0</v>
      </c>
      <c r="AI507" s="18"/>
      <c r="AJ507" s="33" t="n">
        <f aca="false">IF(AN507=0,J507,0)</f>
        <v>0</v>
      </c>
      <c r="AK507" s="33" t="n">
        <f aca="false">IF(AN507=12,J507,0)</f>
        <v>0</v>
      </c>
      <c r="AL507" s="33" t="n">
        <f aca="false">IF(AN507=21,J507,0)</f>
        <v>0</v>
      </c>
      <c r="AN507" s="33" t="n">
        <v>12</v>
      </c>
      <c r="AO507" s="33" t="n">
        <f aca="false">G507*0.318785425</f>
        <v>0</v>
      </c>
      <c r="AP507" s="33" t="n">
        <f aca="false">G507*(1-0.318785425)</f>
        <v>0</v>
      </c>
      <c r="AQ507" s="35" t="s">
        <v>58</v>
      </c>
      <c r="AV507" s="33" t="n">
        <f aca="false">AW507+AX507</f>
        <v>0</v>
      </c>
      <c r="AW507" s="33" t="n">
        <f aca="false">F507*AO507</f>
        <v>0</v>
      </c>
      <c r="AX507" s="33" t="n">
        <f aca="false">F507*AP507</f>
        <v>0</v>
      </c>
      <c r="AY507" s="35" t="s">
        <v>917</v>
      </c>
      <c r="AZ507" s="35" t="s">
        <v>832</v>
      </c>
      <c r="BA507" s="18" t="s">
        <v>57</v>
      </c>
      <c r="BC507" s="33" t="n">
        <f aca="false">AW507+AX507</f>
        <v>0</v>
      </c>
      <c r="BD507" s="33" t="n">
        <f aca="false">G507/(100-BE507)*100</f>
        <v>0</v>
      </c>
      <c r="BE507" s="33" t="n">
        <v>0</v>
      </c>
      <c r="BF507" s="33" t="n">
        <f aca="false">515</f>
        <v>515</v>
      </c>
      <c r="BH507" s="33" t="n">
        <f aca="false">F507*AO507</f>
        <v>0</v>
      </c>
      <c r="BI507" s="33" t="n">
        <f aca="false">F507*AP507</f>
        <v>0</v>
      </c>
      <c r="BJ507" s="33" t="n">
        <f aca="false">F507*G507</f>
        <v>0</v>
      </c>
      <c r="BK507" s="33"/>
      <c r="BL507" s="33"/>
      <c r="BW507" s="33" t="n">
        <v>12</v>
      </c>
      <c r="BX507" s="9" t="s">
        <v>987</v>
      </c>
    </row>
    <row r="508" customFormat="false" ht="15" hidden="false" customHeight="false" outlineLevel="0" collapsed="false">
      <c r="A508" s="36"/>
      <c r="C508" s="37" t="s">
        <v>293</v>
      </c>
      <c r="D508" s="37" t="s">
        <v>921</v>
      </c>
      <c r="F508" s="38" t="n">
        <v>40</v>
      </c>
      <c r="K508" s="39"/>
    </row>
    <row r="509" customFormat="false" ht="15" hidden="false" customHeight="true" outlineLevel="0" collapsed="false">
      <c r="A509" s="32" t="s">
        <v>988</v>
      </c>
      <c r="B509" s="10" t="s">
        <v>989</v>
      </c>
      <c r="C509" s="9" t="s">
        <v>990</v>
      </c>
      <c r="D509" s="9"/>
      <c r="E509" s="10" t="s">
        <v>163</v>
      </c>
      <c r="F509" s="33" t="n">
        <v>190</v>
      </c>
      <c r="G509" s="33" t="n">
        <v>0</v>
      </c>
      <c r="H509" s="33" t="n">
        <f aca="false">F509*AO509</f>
        <v>0</v>
      </c>
      <c r="I509" s="33" t="n">
        <f aca="false">F509*AP509</f>
        <v>0</v>
      </c>
      <c r="J509" s="33" t="n">
        <f aca="false">F509*G509</f>
        <v>0</v>
      </c>
      <c r="K509" s="34" t="s">
        <v>55</v>
      </c>
      <c r="Z509" s="33" t="n">
        <f aca="false">IF(AQ509="5",BJ509,0)</f>
        <v>0</v>
      </c>
      <c r="AB509" s="33" t="n">
        <f aca="false">IF(AQ509="1",BH509,0)</f>
        <v>0</v>
      </c>
      <c r="AC509" s="33" t="n">
        <f aca="false">IF(AQ509="1",BI509,0)</f>
        <v>0</v>
      </c>
      <c r="AD509" s="33" t="n">
        <f aca="false">IF(AQ509="7",BH509,0)</f>
        <v>0</v>
      </c>
      <c r="AE509" s="33" t="n">
        <f aca="false">IF(AQ509="7",BI509,0)</f>
        <v>0</v>
      </c>
      <c r="AF509" s="33" t="n">
        <f aca="false">IF(AQ509="2",BH509,0)</f>
        <v>0</v>
      </c>
      <c r="AG509" s="33" t="n">
        <f aca="false">IF(AQ509="2",BI509,0)</f>
        <v>0</v>
      </c>
      <c r="AH509" s="33" t="n">
        <f aca="false">IF(AQ509="0",BJ509,0)</f>
        <v>0</v>
      </c>
      <c r="AI509" s="18"/>
      <c r="AJ509" s="33" t="n">
        <f aca="false">IF(AN509=0,J509,0)</f>
        <v>0</v>
      </c>
      <c r="AK509" s="33" t="n">
        <f aca="false">IF(AN509=12,J509,0)</f>
        <v>0</v>
      </c>
      <c r="AL509" s="33" t="n">
        <f aca="false">IF(AN509=21,J509,0)</f>
        <v>0</v>
      </c>
      <c r="AN509" s="33" t="n">
        <v>12</v>
      </c>
      <c r="AO509" s="33" t="n">
        <f aca="false">G509*0</f>
        <v>0</v>
      </c>
      <c r="AP509" s="33" t="n">
        <f aca="false">G509*(1-0)</f>
        <v>0</v>
      </c>
      <c r="AQ509" s="35" t="s">
        <v>58</v>
      </c>
      <c r="AV509" s="33" t="n">
        <f aca="false">AW509+AX509</f>
        <v>0</v>
      </c>
      <c r="AW509" s="33" t="n">
        <f aca="false">F509*AO509</f>
        <v>0</v>
      </c>
      <c r="AX509" s="33" t="n">
        <f aca="false">F509*AP509</f>
        <v>0</v>
      </c>
      <c r="AY509" s="35" t="s">
        <v>917</v>
      </c>
      <c r="AZ509" s="35" t="s">
        <v>832</v>
      </c>
      <c r="BA509" s="18" t="s">
        <v>57</v>
      </c>
      <c r="BC509" s="33" t="n">
        <f aca="false">AW509+AX509</f>
        <v>0</v>
      </c>
      <c r="BD509" s="33" t="n">
        <f aca="false">G509/(100-BE509)*100</f>
        <v>0</v>
      </c>
      <c r="BE509" s="33" t="n">
        <v>0</v>
      </c>
      <c r="BF509" s="33" t="n">
        <f aca="false">517</f>
        <v>517</v>
      </c>
      <c r="BH509" s="33" t="n">
        <f aca="false">F509*AO509</f>
        <v>0</v>
      </c>
      <c r="BI509" s="33" t="n">
        <f aca="false">F509*AP509</f>
        <v>0</v>
      </c>
      <c r="BJ509" s="33" t="n">
        <f aca="false">F509*G509</f>
        <v>0</v>
      </c>
      <c r="BK509" s="33"/>
      <c r="BL509" s="33"/>
      <c r="BW509" s="33" t="n">
        <v>12</v>
      </c>
      <c r="BX509" s="9" t="s">
        <v>990</v>
      </c>
    </row>
    <row r="510" customFormat="false" ht="15" hidden="false" customHeight="false" outlineLevel="0" collapsed="false">
      <c r="A510" s="36"/>
      <c r="C510" s="37" t="s">
        <v>884</v>
      </c>
      <c r="D510" s="37"/>
      <c r="F510" s="38" t="n">
        <v>175</v>
      </c>
      <c r="K510" s="39"/>
    </row>
    <row r="511" customFormat="false" ht="15" hidden="false" customHeight="false" outlineLevel="0" collapsed="false">
      <c r="A511" s="36"/>
      <c r="C511" s="37" t="s">
        <v>136</v>
      </c>
      <c r="D511" s="37"/>
      <c r="F511" s="38" t="n">
        <v>15</v>
      </c>
      <c r="K511" s="39"/>
    </row>
    <row r="512" customFormat="false" ht="15" hidden="false" customHeight="true" outlineLevel="0" collapsed="false">
      <c r="A512" s="32" t="s">
        <v>991</v>
      </c>
      <c r="B512" s="10" t="s">
        <v>963</v>
      </c>
      <c r="C512" s="9" t="s">
        <v>964</v>
      </c>
      <c r="D512" s="9"/>
      <c r="E512" s="10" t="s">
        <v>163</v>
      </c>
      <c r="F512" s="33" t="n">
        <v>6</v>
      </c>
      <c r="G512" s="33" t="n">
        <v>0</v>
      </c>
      <c r="H512" s="33" t="n">
        <f aca="false">F512*AO512</f>
        <v>0</v>
      </c>
      <c r="I512" s="33" t="n">
        <f aca="false">F512*AP512</f>
        <v>0</v>
      </c>
      <c r="J512" s="33" t="n">
        <f aca="false">F512*G512</f>
        <v>0</v>
      </c>
      <c r="K512" s="34" t="s">
        <v>55</v>
      </c>
      <c r="Z512" s="33" t="n">
        <f aca="false">IF(AQ512="5",BJ512,0)</f>
        <v>0</v>
      </c>
      <c r="AB512" s="33" t="n">
        <f aca="false">IF(AQ512="1",BH512,0)</f>
        <v>0</v>
      </c>
      <c r="AC512" s="33" t="n">
        <f aca="false">IF(AQ512="1",BI512,0)</f>
        <v>0</v>
      </c>
      <c r="AD512" s="33" t="n">
        <f aca="false">IF(AQ512="7",BH512,0)</f>
        <v>0</v>
      </c>
      <c r="AE512" s="33" t="n">
        <f aca="false">IF(AQ512="7",BI512,0)</f>
        <v>0</v>
      </c>
      <c r="AF512" s="33" t="n">
        <f aca="false">IF(AQ512="2",BH512,0)</f>
        <v>0</v>
      </c>
      <c r="AG512" s="33" t="n">
        <f aca="false">IF(AQ512="2",BI512,0)</f>
        <v>0</v>
      </c>
      <c r="AH512" s="33" t="n">
        <f aca="false">IF(AQ512="0",BJ512,0)</f>
        <v>0</v>
      </c>
      <c r="AI512" s="18"/>
      <c r="AJ512" s="33" t="n">
        <f aca="false">IF(AN512=0,J512,0)</f>
        <v>0</v>
      </c>
      <c r="AK512" s="33" t="n">
        <f aca="false">IF(AN512=12,J512,0)</f>
        <v>0</v>
      </c>
      <c r="AL512" s="33" t="n">
        <f aca="false">IF(AN512=21,J512,0)</f>
        <v>0</v>
      </c>
      <c r="AN512" s="33" t="n">
        <v>12</v>
      </c>
      <c r="AO512" s="33" t="n">
        <f aca="false">G512*0</f>
        <v>0</v>
      </c>
      <c r="AP512" s="33" t="n">
        <f aca="false">G512*(1-0)</f>
        <v>0</v>
      </c>
      <c r="AQ512" s="35" t="s">
        <v>58</v>
      </c>
      <c r="AV512" s="33" t="n">
        <f aca="false">AW512+AX512</f>
        <v>0</v>
      </c>
      <c r="AW512" s="33" t="n">
        <f aca="false">F512*AO512</f>
        <v>0</v>
      </c>
      <c r="AX512" s="33" t="n">
        <f aca="false">F512*AP512</f>
        <v>0</v>
      </c>
      <c r="AY512" s="35" t="s">
        <v>917</v>
      </c>
      <c r="AZ512" s="35" t="s">
        <v>832</v>
      </c>
      <c r="BA512" s="18" t="s">
        <v>57</v>
      </c>
      <c r="BC512" s="33" t="n">
        <f aca="false">AW512+AX512</f>
        <v>0</v>
      </c>
      <c r="BD512" s="33" t="n">
        <f aca="false">G512/(100-BE512)*100</f>
        <v>0</v>
      </c>
      <c r="BE512" s="33" t="n">
        <v>0</v>
      </c>
      <c r="BF512" s="33" t="n">
        <f aca="false">520</f>
        <v>520</v>
      </c>
      <c r="BH512" s="33" t="n">
        <f aca="false">F512*AO512</f>
        <v>0</v>
      </c>
      <c r="BI512" s="33" t="n">
        <f aca="false">F512*AP512</f>
        <v>0</v>
      </c>
      <c r="BJ512" s="33" t="n">
        <f aca="false">F512*G512</f>
        <v>0</v>
      </c>
      <c r="BK512" s="33"/>
      <c r="BL512" s="33"/>
      <c r="BW512" s="33" t="n">
        <v>12</v>
      </c>
      <c r="BX512" s="9" t="s">
        <v>964</v>
      </c>
    </row>
    <row r="513" customFormat="false" ht="15" hidden="false" customHeight="false" outlineLevel="0" collapsed="false">
      <c r="A513" s="36"/>
      <c r="C513" s="37" t="s">
        <v>72</v>
      </c>
      <c r="D513" s="37" t="s">
        <v>921</v>
      </c>
      <c r="F513" s="38" t="n">
        <v>6</v>
      </c>
      <c r="K513" s="39"/>
    </row>
    <row r="514" customFormat="false" ht="15" hidden="false" customHeight="true" outlineLevel="0" collapsed="false">
      <c r="A514" s="32" t="s">
        <v>992</v>
      </c>
      <c r="B514" s="10" t="s">
        <v>993</v>
      </c>
      <c r="C514" s="9" t="s">
        <v>994</v>
      </c>
      <c r="D514" s="9"/>
      <c r="E514" s="10" t="s">
        <v>91</v>
      </c>
      <c r="F514" s="33" t="n">
        <v>20</v>
      </c>
      <c r="G514" s="33" t="n">
        <v>0</v>
      </c>
      <c r="H514" s="33" t="n">
        <f aca="false">F514*AO514</f>
        <v>0</v>
      </c>
      <c r="I514" s="33" t="n">
        <f aca="false">F514*AP514</f>
        <v>0</v>
      </c>
      <c r="J514" s="33" t="n">
        <f aca="false">F514*G514</f>
        <v>0</v>
      </c>
      <c r="K514" s="34" t="s">
        <v>55</v>
      </c>
      <c r="Z514" s="33" t="n">
        <f aca="false">IF(AQ514="5",BJ514,0)</f>
        <v>0</v>
      </c>
      <c r="AB514" s="33" t="n">
        <f aca="false">IF(AQ514="1",BH514,0)</f>
        <v>0</v>
      </c>
      <c r="AC514" s="33" t="n">
        <f aca="false">IF(AQ514="1",BI514,0)</f>
        <v>0</v>
      </c>
      <c r="AD514" s="33" t="n">
        <f aca="false">IF(AQ514="7",BH514,0)</f>
        <v>0</v>
      </c>
      <c r="AE514" s="33" t="n">
        <f aca="false">IF(AQ514="7",BI514,0)</f>
        <v>0</v>
      </c>
      <c r="AF514" s="33" t="n">
        <f aca="false">IF(AQ514="2",BH514,0)</f>
        <v>0</v>
      </c>
      <c r="AG514" s="33" t="n">
        <f aca="false">IF(AQ514="2",BI514,0)</f>
        <v>0</v>
      </c>
      <c r="AH514" s="33" t="n">
        <f aca="false">IF(AQ514="0",BJ514,0)</f>
        <v>0</v>
      </c>
      <c r="AI514" s="18"/>
      <c r="AJ514" s="33" t="n">
        <f aca="false">IF(AN514=0,J514,0)</f>
        <v>0</v>
      </c>
      <c r="AK514" s="33" t="n">
        <f aca="false">IF(AN514=12,J514,0)</f>
        <v>0</v>
      </c>
      <c r="AL514" s="33" t="n">
        <f aca="false">IF(AN514=21,J514,0)</f>
        <v>0</v>
      </c>
      <c r="AN514" s="33" t="n">
        <v>12</v>
      </c>
      <c r="AO514" s="33" t="n">
        <f aca="false">G514*0.190591549</f>
        <v>0</v>
      </c>
      <c r="AP514" s="33" t="n">
        <f aca="false">G514*(1-0.190591549)</f>
        <v>0</v>
      </c>
      <c r="AQ514" s="35" t="s">
        <v>58</v>
      </c>
      <c r="AV514" s="33" t="n">
        <f aca="false">AW514+AX514</f>
        <v>0</v>
      </c>
      <c r="AW514" s="33" t="n">
        <f aca="false">F514*AO514</f>
        <v>0</v>
      </c>
      <c r="AX514" s="33" t="n">
        <f aca="false">F514*AP514</f>
        <v>0</v>
      </c>
      <c r="AY514" s="35" t="s">
        <v>917</v>
      </c>
      <c r="AZ514" s="35" t="s">
        <v>832</v>
      </c>
      <c r="BA514" s="18" t="s">
        <v>57</v>
      </c>
      <c r="BC514" s="33" t="n">
        <f aca="false">AW514+AX514</f>
        <v>0</v>
      </c>
      <c r="BD514" s="33" t="n">
        <f aca="false">G514/(100-BE514)*100</f>
        <v>0</v>
      </c>
      <c r="BE514" s="33" t="n">
        <v>0</v>
      </c>
      <c r="BF514" s="33" t="n">
        <f aca="false">522</f>
        <v>522</v>
      </c>
      <c r="BH514" s="33" t="n">
        <f aca="false">F514*AO514</f>
        <v>0</v>
      </c>
      <c r="BI514" s="33" t="n">
        <f aca="false">F514*AP514</f>
        <v>0</v>
      </c>
      <c r="BJ514" s="33" t="n">
        <f aca="false">F514*G514</f>
        <v>0</v>
      </c>
      <c r="BK514" s="33"/>
      <c r="BL514" s="33"/>
      <c r="BW514" s="33" t="n">
        <v>12</v>
      </c>
      <c r="BX514" s="9" t="s">
        <v>994</v>
      </c>
    </row>
    <row r="515" customFormat="false" ht="15" hidden="false" customHeight="false" outlineLevel="0" collapsed="false">
      <c r="A515" s="36"/>
      <c r="C515" s="37" t="s">
        <v>165</v>
      </c>
      <c r="D515" s="37" t="s">
        <v>995</v>
      </c>
      <c r="F515" s="38" t="n">
        <v>20</v>
      </c>
      <c r="K515" s="39"/>
    </row>
    <row r="516" customFormat="false" ht="15" hidden="false" customHeight="true" outlineLevel="0" collapsed="false">
      <c r="A516" s="32" t="s">
        <v>996</v>
      </c>
      <c r="B516" s="10" t="s">
        <v>997</v>
      </c>
      <c r="C516" s="9" t="s">
        <v>998</v>
      </c>
      <c r="D516" s="9"/>
      <c r="E516" s="10" t="s">
        <v>163</v>
      </c>
      <c r="F516" s="33" t="n">
        <v>1</v>
      </c>
      <c r="G516" s="33" t="n">
        <v>0</v>
      </c>
      <c r="H516" s="33" t="n">
        <f aca="false">F516*AO516</f>
        <v>0</v>
      </c>
      <c r="I516" s="33" t="n">
        <f aca="false">F516*AP516</f>
        <v>0</v>
      </c>
      <c r="J516" s="33" t="n">
        <f aca="false">F516*G516</f>
        <v>0</v>
      </c>
      <c r="K516" s="34" t="s">
        <v>55</v>
      </c>
      <c r="Z516" s="33" t="n">
        <f aca="false">IF(AQ516="5",BJ516,0)</f>
        <v>0</v>
      </c>
      <c r="AB516" s="33" t="n">
        <f aca="false">IF(AQ516="1",BH516,0)</f>
        <v>0</v>
      </c>
      <c r="AC516" s="33" t="n">
        <f aca="false">IF(AQ516="1",BI516,0)</f>
        <v>0</v>
      </c>
      <c r="AD516" s="33" t="n">
        <f aca="false">IF(AQ516="7",BH516,0)</f>
        <v>0</v>
      </c>
      <c r="AE516" s="33" t="n">
        <f aca="false">IF(AQ516="7",BI516,0)</f>
        <v>0</v>
      </c>
      <c r="AF516" s="33" t="n">
        <f aca="false">IF(AQ516="2",BH516,0)</f>
        <v>0</v>
      </c>
      <c r="AG516" s="33" t="n">
        <f aca="false">IF(AQ516="2",BI516,0)</f>
        <v>0</v>
      </c>
      <c r="AH516" s="33" t="n">
        <f aca="false">IF(AQ516="0",BJ516,0)</f>
        <v>0</v>
      </c>
      <c r="AI516" s="18"/>
      <c r="AJ516" s="33" t="n">
        <f aca="false">IF(AN516=0,J516,0)</f>
        <v>0</v>
      </c>
      <c r="AK516" s="33" t="n">
        <f aca="false">IF(AN516=12,J516,0)</f>
        <v>0</v>
      </c>
      <c r="AL516" s="33" t="n">
        <f aca="false">IF(AN516=21,J516,0)</f>
        <v>0</v>
      </c>
      <c r="AN516" s="33" t="n">
        <v>12</v>
      </c>
      <c r="AO516" s="33" t="n">
        <f aca="false">G516*0.657142857</f>
        <v>0</v>
      </c>
      <c r="AP516" s="33" t="n">
        <f aca="false">G516*(1-0.657142857)</f>
        <v>0</v>
      </c>
      <c r="AQ516" s="35" t="s">
        <v>58</v>
      </c>
      <c r="AV516" s="33" t="n">
        <f aca="false">AW516+AX516</f>
        <v>0</v>
      </c>
      <c r="AW516" s="33" t="n">
        <f aca="false">F516*AO516</f>
        <v>0</v>
      </c>
      <c r="AX516" s="33" t="n">
        <f aca="false">F516*AP516</f>
        <v>0</v>
      </c>
      <c r="AY516" s="35" t="s">
        <v>917</v>
      </c>
      <c r="AZ516" s="35" t="s">
        <v>832</v>
      </c>
      <c r="BA516" s="18" t="s">
        <v>57</v>
      </c>
      <c r="BC516" s="33" t="n">
        <f aca="false">AW516+AX516</f>
        <v>0</v>
      </c>
      <c r="BD516" s="33" t="n">
        <f aca="false">G516/(100-BE516)*100</f>
        <v>0</v>
      </c>
      <c r="BE516" s="33" t="n">
        <v>0</v>
      </c>
      <c r="BF516" s="33" t="n">
        <f aca="false">524</f>
        <v>524</v>
      </c>
      <c r="BH516" s="33" t="n">
        <f aca="false">F516*AO516</f>
        <v>0</v>
      </c>
      <c r="BI516" s="33" t="n">
        <f aca="false">F516*AP516</f>
        <v>0</v>
      </c>
      <c r="BJ516" s="33" t="n">
        <f aca="false">F516*G516</f>
        <v>0</v>
      </c>
      <c r="BK516" s="33"/>
      <c r="BL516" s="33"/>
      <c r="BW516" s="33" t="n">
        <v>12</v>
      </c>
      <c r="BX516" s="9" t="s">
        <v>998</v>
      </c>
    </row>
    <row r="517" customFormat="false" ht="15" hidden="false" customHeight="false" outlineLevel="0" collapsed="false">
      <c r="A517" s="36"/>
      <c r="C517" s="37" t="s">
        <v>51</v>
      </c>
      <c r="D517" s="37"/>
      <c r="F517" s="38" t="n">
        <v>1</v>
      </c>
      <c r="K517" s="39"/>
    </row>
    <row r="518" customFormat="false" ht="15" hidden="false" customHeight="true" outlineLevel="0" collapsed="false">
      <c r="A518" s="32" t="s">
        <v>999</v>
      </c>
      <c r="B518" s="10" t="s">
        <v>1000</v>
      </c>
      <c r="C518" s="9" t="s">
        <v>1001</v>
      </c>
      <c r="D518" s="9"/>
      <c r="E518" s="10" t="s">
        <v>91</v>
      </c>
      <c r="F518" s="33" t="n">
        <v>580</v>
      </c>
      <c r="G518" s="33" t="n">
        <v>0</v>
      </c>
      <c r="H518" s="33" t="n">
        <f aca="false">F518*AO518</f>
        <v>0</v>
      </c>
      <c r="I518" s="33" t="n">
        <f aca="false">F518*AP518</f>
        <v>0</v>
      </c>
      <c r="J518" s="33" t="n">
        <f aca="false">F518*G518</f>
        <v>0</v>
      </c>
      <c r="K518" s="34" t="s">
        <v>55</v>
      </c>
      <c r="Z518" s="33" t="n">
        <f aca="false">IF(AQ518="5",BJ518,0)</f>
        <v>0</v>
      </c>
      <c r="AB518" s="33" t="n">
        <f aca="false">IF(AQ518="1",BH518,0)</f>
        <v>0</v>
      </c>
      <c r="AC518" s="33" t="n">
        <f aca="false">IF(AQ518="1",BI518,0)</f>
        <v>0</v>
      </c>
      <c r="AD518" s="33" t="n">
        <f aca="false">IF(AQ518="7",BH518,0)</f>
        <v>0</v>
      </c>
      <c r="AE518" s="33" t="n">
        <f aca="false">IF(AQ518="7",BI518,0)</f>
        <v>0</v>
      </c>
      <c r="AF518" s="33" t="n">
        <f aca="false">IF(AQ518="2",BH518,0)</f>
        <v>0</v>
      </c>
      <c r="AG518" s="33" t="n">
        <f aca="false">IF(AQ518="2",BI518,0)</f>
        <v>0</v>
      </c>
      <c r="AH518" s="33" t="n">
        <f aca="false">IF(AQ518="0",BJ518,0)</f>
        <v>0</v>
      </c>
      <c r="AI518" s="18"/>
      <c r="AJ518" s="33" t="n">
        <f aca="false">IF(AN518=0,J518,0)</f>
        <v>0</v>
      </c>
      <c r="AK518" s="33" t="n">
        <f aca="false">IF(AN518=12,J518,0)</f>
        <v>0</v>
      </c>
      <c r="AL518" s="33" t="n">
        <f aca="false">IF(AN518=21,J518,0)</f>
        <v>0</v>
      </c>
      <c r="AN518" s="33" t="n">
        <v>12</v>
      </c>
      <c r="AO518" s="33" t="n">
        <f aca="false">G518*0.480340064</f>
        <v>0</v>
      </c>
      <c r="AP518" s="33" t="n">
        <f aca="false">G518*(1-0.480340064)</f>
        <v>0</v>
      </c>
      <c r="AQ518" s="35" t="s">
        <v>58</v>
      </c>
      <c r="AV518" s="33" t="n">
        <f aca="false">AW518+AX518</f>
        <v>0</v>
      </c>
      <c r="AW518" s="33" t="n">
        <f aca="false">F518*AO518</f>
        <v>0</v>
      </c>
      <c r="AX518" s="33" t="n">
        <f aca="false">F518*AP518</f>
        <v>0</v>
      </c>
      <c r="AY518" s="35" t="s">
        <v>917</v>
      </c>
      <c r="AZ518" s="35" t="s">
        <v>832</v>
      </c>
      <c r="BA518" s="18" t="s">
        <v>57</v>
      </c>
      <c r="BC518" s="33" t="n">
        <f aca="false">AW518+AX518</f>
        <v>0</v>
      </c>
      <c r="BD518" s="33" t="n">
        <f aca="false">G518/(100-BE518)*100</f>
        <v>0</v>
      </c>
      <c r="BE518" s="33" t="n">
        <v>0</v>
      </c>
      <c r="BF518" s="33" t="n">
        <f aca="false">526</f>
        <v>526</v>
      </c>
      <c r="BH518" s="33" t="n">
        <f aca="false">F518*AO518</f>
        <v>0</v>
      </c>
      <c r="BI518" s="33" t="n">
        <f aca="false">F518*AP518</f>
        <v>0</v>
      </c>
      <c r="BJ518" s="33" t="n">
        <f aca="false">F518*G518</f>
        <v>0</v>
      </c>
      <c r="BK518" s="33"/>
      <c r="BL518" s="33"/>
      <c r="BW518" s="33" t="n">
        <v>12</v>
      </c>
      <c r="BX518" s="9" t="s">
        <v>1001</v>
      </c>
    </row>
    <row r="519" customFormat="false" ht="15" hidden="false" customHeight="false" outlineLevel="0" collapsed="false">
      <c r="A519" s="36"/>
      <c r="C519" s="37" t="s">
        <v>1002</v>
      </c>
      <c r="D519" s="37"/>
      <c r="F519" s="38" t="n">
        <v>580</v>
      </c>
      <c r="K519" s="39"/>
    </row>
    <row r="520" customFormat="false" ht="15" hidden="false" customHeight="true" outlineLevel="0" collapsed="false">
      <c r="A520" s="32" t="s">
        <v>1003</v>
      </c>
      <c r="B520" s="10" t="s">
        <v>1004</v>
      </c>
      <c r="C520" s="9" t="s">
        <v>1005</v>
      </c>
      <c r="D520" s="9"/>
      <c r="E520" s="10" t="s">
        <v>163</v>
      </c>
      <c r="F520" s="33" t="n">
        <v>1</v>
      </c>
      <c r="G520" s="33" t="n">
        <v>0</v>
      </c>
      <c r="H520" s="33" t="n">
        <f aca="false">F520*AO520</f>
        <v>0</v>
      </c>
      <c r="I520" s="33" t="n">
        <f aca="false">F520*AP520</f>
        <v>0</v>
      </c>
      <c r="J520" s="33" t="n">
        <f aca="false">F520*G520</f>
        <v>0</v>
      </c>
      <c r="K520" s="34" t="s">
        <v>55</v>
      </c>
      <c r="Z520" s="33" t="n">
        <f aca="false">IF(AQ520="5",BJ520,0)</f>
        <v>0</v>
      </c>
      <c r="AB520" s="33" t="n">
        <f aca="false">IF(AQ520="1",BH520,0)</f>
        <v>0</v>
      </c>
      <c r="AC520" s="33" t="n">
        <f aca="false">IF(AQ520="1",BI520,0)</f>
        <v>0</v>
      </c>
      <c r="AD520" s="33" t="n">
        <f aca="false">IF(AQ520="7",BH520,0)</f>
        <v>0</v>
      </c>
      <c r="AE520" s="33" t="n">
        <f aca="false">IF(AQ520="7",BI520,0)</f>
        <v>0</v>
      </c>
      <c r="AF520" s="33" t="n">
        <f aca="false">IF(AQ520="2",BH520,0)</f>
        <v>0</v>
      </c>
      <c r="AG520" s="33" t="n">
        <f aca="false">IF(AQ520="2",BI520,0)</f>
        <v>0</v>
      </c>
      <c r="AH520" s="33" t="n">
        <f aca="false">IF(AQ520="0",BJ520,0)</f>
        <v>0</v>
      </c>
      <c r="AI520" s="18"/>
      <c r="AJ520" s="33" t="n">
        <f aca="false">IF(AN520=0,J520,0)</f>
        <v>0</v>
      </c>
      <c r="AK520" s="33" t="n">
        <f aca="false">IF(AN520=12,J520,0)</f>
        <v>0</v>
      </c>
      <c r="AL520" s="33" t="n">
        <f aca="false">IF(AN520=21,J520,0)</f>
        <v>0</v>
      </c>
      <c r="AN520" s="33" t="n">
        <v>12</v>
      </c>
      <c r="AO520" s="33" t="n">
        <f aca="false">G520*0</f>
        <v>0</v>
      </c>
      <c r="AP520" s="33" t="n">
        <f aca="false">G520*(1-0)</f>
        <v>0</v>
      </c>
      <c r="AQ520" s="35" t="s">
        <v>51</v>
      </c>
      <c r="AV520" s="33" t="n">
        <f aca="false">AW520+AX520</f>
        <v>0</v>
      </c>
      <c r="AW520" s="33" t="n">
        <f aca="false">F520*AO520</f>
        <v>0</v>
      </c>
      <c r="AX520" s="33" t="n">
        <f aca="false">F520*AP520</f>
        <v>0</v>
      </c>
      <c r="AY520" s="35" t="s">
        <v>917</v>
      </c>
      <c r="AZ520" s="35" t="s">
        <v>832</v>
      </c>
      <c r="BA520" s="18" t="s">
        <v>57</v>
      </c>
      <c r="BC520" s="33" t="n">
        <f aca="false">AW520+AX520</f>
        <v>0</v>
      </c>
      <c r="BD520" s="33" t="n">
        <f aca="false">G520/(100-BE520)*100</f>
        <v>0</v>
      </c>
      <c r="BE520" s="33" t="n">
        <v>0</v>
      </c>
      <c r="BF520" s="33" t="n">
        <f aca="false">528</f>
        <v>528</v>
      </c>
      <c r="BH520" s="33" t="n">
        <f aca="false">F520*AO520</f>
        <v>0</v>
      </c>
      <c r="BI520" s="33" t="n">
        <f aca="false">F520*AP520</f>
        <v>0</v>
      </c>
      <c r="BJ520" s="33" t="n">
        <f aca="false">F520*G520</f>
        <v>0</v>
      </c>
      <c r="BK520" s="33"/>
      <c r="BL520" s="33"/>
      <c r="BW520" s="33" t="n">
        <v>12</v>
      </c>
      <c r="BX520" s="9" t="s">
        <v>1005</v>
      </c>
    </row>
    <row r="521" customFormat="false" ht="15" hidden="false" customHeight="false" outlineLevel="0" collapsed="false">
      <c r="A521" s="36"/>
      <c r="C521" s="37" t="s">
        <v>51</v>
      </c>
      <c r="D521" s="37"/>
      <c r="F521" s="38" t="n">
        <v>1</v>
      </c>
      <c r="K521" s="39"/>
    </row>
    <row r="522" customFormat="false" ht="15" hidden="false" customHeight="true" outlineLevel="0" collapsed="false">
      <c r="A522" s="32" t="s">
        <v>1006</v>
      </c>
      <c r="B522" s="10" t="s">
        <v>1007</v>
      </c>
      <c r="C522" s="9" t="s">
        <v>1008</v>
      </c>
      <c r="D522" s="9"/>
      <c r="E522" s="10" t="s">
        <v>830</v>
      </c>
      <c r="F522" s="33" t="n">
        <v>20</v>
      </c>
      <c r="G522" s="33" t="n">
        <v>0</v>
      </c>
      <c r="H522" s="33" t="n">
        <f aca="false">F522*AO522</f>
        <v>0</v>
      </c>
      <c r="I522" s="33" t="n">
        <f aca="false">F522*AP522</f>
        <v>0</v>
      </c>
      <c r="J522" s="33" t="n">
        <f aca="false">F522*G522</f>
        <v>0</v>
      </c>
      <c r="K522" s="34" t="s">
        <v>55</v>
      </c>
      <c r="Z522" s="33" t="n">
        <f aca="false">IF(AQ522="5",BJ522,0)</f>
        <v>0</v>
      </c>
      <c r="AB522" s="33" t="n">
        <f aca="false">IF(AQ522="1",BH522,0)</f>
        <v>0</v>
      </c>
      <c r="AC522" s="33" t="n">
        <f aca="false">IF(AQ522="1",BI522,0)</f>
        <v>0</v>
      </c>
      <c r="AD522" s="33" t="n">
        <f aca="false">IF(AQ522="7",BH522,0)</f>
        <v>0</v>
      </c>
      <c r="AE522" s="33" t="n">
        <f aca="false">IF(AQ522="7",BI522,0)</f>
        <v>0</v>
      </c>
      <c r="AF522" s="33" t="n">
        <f aca="false">IF(AQ522="2",BH522,0)</f>
        <v>0</v>
      </c>
      <c r="AG522" s="33" t="n">
        <f aca="false">IF(AQ522="2",BI522,0)</f>
        <v>0</v>
      </c>
      <c r="AH522" s="33" t="n">
        <f aca="false">IF(AQ522="0",BJ522,0)</f>
        <v>0</v>
      </c>
      <c r="AI522" s="18"/>
      <c r="AJ522" s="33" t="n">
        <f aca="false">IF(AN522=0,J522,0)</f>
        <v>0</v>
      </c>
      <c r="AK522" s="33" t="n">
        <f aca="false">IF(AN522=12,J522,0)</f>
        <v>0</v>
      </c>
      <c r="AL522" s="33" t="n">
        <f aca="false">IF(AN522=21,J522,0)</f>
        <v>0</v>
      </c>
      <c r="AN522" s="33" t="n">
        <v>12</v>
      </c>
      <c r="AO522" s="33" t="n">
        <f aca="false">G522*0</f>
        <v>0</v>
      </c>
      <c r="AP522" s="33" t="n">
        <f aca="false">G522*(1-0)</f>
        <v>0</v>
      </c>
      <c r="AQ522" s="35" t="s">
        <v>51</v>
      </c>
      <c r="AV522" s="33" t="n">
        <f aca="false">AW522+AX522</f>
        <v>0</v>
      </c>
      <c r="AW522" s="33" t="n">
        <f aca="false">F522*AO522</f>
        <v>0</v>
      </c>
      <c r="AX522" s="33" t="n">
        <f aca="false">F522*AP522</f>
        <v>0</v>
      </c>
      <c r="AY522" s="35" t="s">
        <v>917</v>
      </c>
      <c r="AZ522" s="35" t="s">
        <v>832</v>
      </c>
      <c r="BA522" s="18" t="s">
        <v>57</v>
      </c>
      <c r="BC522" s="33" t="n">
        <f aca="false">AW522+AX522</f>
        <v>0</v>
      </c>
      <c r="BD522" s="33" t="n">
        <f aca="false">G522/(100-BE522)*100</f>
        <v>0</v>
      </c>
      <c r="BE522" s="33" t="n">
        <v>0</v>
      </c>
      <c r="BF522" s="33" t="n">
        <f aca="false">530</f>
        <v>530</v>
      </c>
      <c r="BH522" s="33" t="n">
        <f aca="false">F522*AO522</f>
        <v>0</v>
      </c>
      <c r="BI522" s="33" t="n">
        <f aca="false">F522*AP522</f>
        <v>0</v>
      </c>
      <c r="BJ522" s="33" t="n">
        <f aca="false">F522*G522</f>
        <v>0</v>
      </c>
      <c r="BK522" s="33"/>
      <c r="BL522" s="33"/>
      <c r="BW522" s="33" t="n">
        <v>12</v>
      </c>
      <c r="BX522" s="9" t="s">
        <v>1008</v>
      </c>
    </row>
    <row r="523" customFormat="false" ht="15" hidden="false" customHeight="false" outlineLevel="0" collapsed="false">
      <c r="A523" s="36"/>
      <c r="C523" s="37" t="s">
        <v>165</v>
      </c>
      <c r="D523" s="37"/>
      <c r="F523" s="38" t="n">
        <v>20</v>
      </c>
      <c r="K523" s="39"/>
    </row>
    <row r="524" customFormat="false" ht="15" hidden="false" customHeight="true" outlineLevel="0" collapsed="false">
      <c r="A524" s="32" t="s">
        <v>1009</v>
      </c>
      <c r="B524" s="10" t="s">
        <v>1010</v>
      </c>
      <c r="C524" s="9" t="s">
        <v>1011</v>
      </c>
      <c r="D524" s="9"/>
      <c r="E524" s="10" t="s">
        <v>163</v>
      </c>
      <c r="F524" s="33" t="n">
        <v>140</v>
      </c>
      <c r="G524" s="33" t="n">
        <v>0</v>
      </c>
      <c r="H524" s="33" t="n">
        <f aca="false">F524*AO524</f>
        <v>0</v>
      </c>
      <c r="I524" s="33" t="n">
        <f aca="false">F524*AP524</f>
        <v>0</v>
      </c>
      <c r="J524" s="33" t="n">
        <f aca="false">F524*G524</f>
        <v>0</v>
      </c>
      <c r="K524" s="34" t="s">
        <v>55</v>
      </c>
      <c r="Z524" s="33" t="n">
        <f aca="false">IF(AQ524="5",BJ524,0)</f>
        <v>0</v>
      </c>
      <c r="AB524" s="33" t="n">
        <f aca="false">IF(AQ524="1",BH524,0)</f>
        <v>0</v>
      </c>
      <c r="AC524" s="33" t="n">
        <f aca="false">IF(AQ524="1",BI524,0)</f>
        <v>0</v>
      </c>
      <c r="AD524" s="33" t="n">
        <f aca="false">IF(AQ524="7",BH524,0)</f>
        <v>0</v>
      </c>
      <c r="AE524" s="33" t="n">
        <f aca="false">IF(AQ524="7",BI524,0)</f>
        <v>0</v>
      </c>
      <c r="AF524" s="33" t="n">
        <f aca="false">IF(AQ524="2",BH524,0)</f>
        <v>0</v>
      </c>
      <c r="AG524" s="33" t="n">
        <f aca="false">IF(AQ524="2",BI524,0)</f>
        <v>0</v>
      </c>
      <c r="AH524" s="33" t="n">
        <f aca="false">IF(AQ524="0",BJ524,0)</f>
        <v>0</v>
      </c>
      <c r="AI524" s="18"/>
      <c r="AJ524" s="33" t="n">
        <f aca="false">IF(AN524=0,J524,0)</f>
        <v>0</v>
      </c>
      <c r="AK524" s="33" t="n">
        <f aca="false">IF(AN524=12,J524,0)</f>
        <v>0</v>
      </c>
      <c r="AL524" s="33" t="n">
        <f aca="false">IF(AN524=21,J524,0)</f>
        <v>0</v>
      </c>
      <c r="AN524" s="33" t="n">
        <v>12</v>
      </c>
      <c r="AO524" s="33" t="n">
        <f aca="false">G524*1</f>
        <v>0</v>
      </c>
      <c r="AP524" s="33" t="n">
        <f aca="false">G524*(1-1)</f>
        <v>0</v>
      </c>
      <c r="AQ524" s="35" t="s">
        <v>51</v>
      </c>
      <c r="AV524" s="33" t="n">
        <f aca="false">AW524+AX524</f>
        <v>0</v>
      </c>
      <c r="AW524" s="33" t="n">
        <f aca="false">F524*AO524</f>
        <v>0</v>
      </c>
      <c r="AX524" s="33" t="n">
        <f aca="false">F524*AP524</f>
        <v>0</v>
      </c>
      <c r="AY524" s="35" t="s">
        <v>917</v>
      </c>
      <c r="AZ524" s="35" t="s">
        <v>832</v>
      </c>
      <c r="BA524" s="18" t="s">
        <v>57</v>
      </c>
      <c r="BC524" s="33" t="n">
        <f aca="false">AW524+AX524</f>
        <v>0</v>
      </c>
      <c r="BD524" s="33" t="n">
        <f aca="false">G524/(100-BE524)*100</f>
        <v>0</v>
      </c>
      <c r="BE524" s="33" t="n">
        <v>0</v>
      </c>
      <c r="BF524" s="33" t="n">
        <f aca="false">532</f>
        <v>532</v>
      </c>
      <c r="BH524" s="33" t="n">
        <f aca="false">F524*AO524</f>
        <v>0</v>
      </c>
      <c r="BI524" s="33" t="n">
        <f aca="false">F524*AP524</f>
        <v>0</v>
      </c>
      <c r="BJ524" s="33" t="n">
        <f aca="false">F524*G524</f>
        <v>0</v>
      </c>
      <c r="BK524" s="33"/>
      <c r="BL524" s="33"/>
      <c r="BW524" s="33" t="n">
        <v>12</v>
      </c>
      <c r="BX524" s="9" t="s">
        <v>1011</v>
      </c>
    </row>
    <row r="525" customFormat="false" ht="15" hidden="false" customHeight="false" outlineLevel="0" collapsed="false">
      <c r="A525" s="36"/>
      <c r="C525" s="37" t="s">
        <v>716</v>
      </c>
      <c r="D525" s="37"/>
      <c r="F525" s="38" t="n">
        <v>140</v>
      </c>
      <c r="K525" s="39"/>
    </row>
    <row r="526" customFormat="false" ht="15" hidden="false" customHeight="true" outlineLevel="0" collapsed="false">
      <c r="A526" s="32" t="s">
        <v>1012</v>
      </c>
      <c r="B526" s="10" t="s">
        <v>1013</v>
      </c>
      <c r="C526" s="9" t="s">
        <v>1014</v>
      </c>
      <c r="D526" s="9"/>
      <c r="E526" s="10" t="s">
        <v>163</v>
      </c>
      <c r="F526" s="33" t="n">
        <v>72</v>
      </c>
      <c r="G526" s="33" t="n">
        <v>0</v>
      </c>
      <c r="H526" s="33" t="n">
        <f aca="false">F526*AO526</f>
        <v>0</v>
      </c>
      <c r="I526" s="33" t="n">
        <f aca="false">F526*AP526</f>
        <v>0</v>
      </c>
      <c r="J526" s="33" t="n">
        <f aca="false">F526*G526</f>
        <v>0</v>
      </c>
      <c r="K526" s="34" t="s">
        <v>55</v>
      </c>
      <c r="Z526" s="33" t="n">
        <f aca="false">IF(AQ526="5",BJ526,0)</f>
        <v>0</v>
      </c>
      <c r="AB526" s="33" t="n">
        <f aca="false">IF(AQ526="1",BH526,0)</f>
        <v>0</v>
      </c>
      <c r="AC526" s="33" t="n">
        <f aca="false">IF(AQ526="1",BI526,0)</f>
        <v>0</v>
      </c>
      <c r="AD526" s="33" t="n">
        <f aca="false">IF(AQ526="7",BH526,0)</f>
        <v>0</v>
      </c>
      <c r="AE526" s="33" t="n">
        <f aca="false">IF(AQ526="7",BI526,0)</f>
        <v>0</v>
      </c>
      <c r="AF526" s="33" t="n">
        <f aca="false">IF(AQ526="2",BH526,0)</f>
        <v>0</v>
      </c>
      <c r="AG526" s="33" t="n">
        <f aca="false">IF(AQ526="2",BI526,0)</f>
        <v>0</v>
      </c>
      <c r="AH526" s="33" t="n">
        <f aca="false">IF(AQ526="0",BJ526,0)</f>
        <v>0</v>
      </c>
      <c r="AI526" s="18"/>
      <c r="AJ526" s="33" t="n">
        <f aca="false">IF(AN526=0,J526,0)</f>
        <v>0</v>
      </c>
      <c r="AK526" s="33" t="n">
        <f aca="false">IF(AN526=12,J526,0)</f>
        <v>0</v>
      </c>
      <c r="AL526" s="33" t="n">
        <f aca="false">IF(AN526=21,J526,0)</f>
        <v>0</v>
      </c>
      <c r="AN526" s="33" t="n">
        <v>12</v>
      </c>
      <c r="AO526" s="33" t="n">
        <f aca="false">G526*1</f>
        <v>0</v>
      </c>
      <c r="AP526" s="33" t="n">
        <f aca="false">G526*(1-1)</f>
        <v>0</v>
      </c>
      <c r="AQ526" s="35" t="s">
        <v>51</v>
      </c>
      <c r="AV526" s="33" t="n">
        <f aca="false">AW526+AX526</f>
        <v>0</v>
      </c>
      <c r="AW526" s="33" t="n">
        <f aca="false">F526*AO526</f>
        <v>0</v>
      </c>
      <c r="AX526" s="33" t="n">
        <f aca="false">F526*AP526</f>
        <v>0</v>
      </c>
      <c r="AY526" s="35" t="s">
        <v>917</v>
      </c>
      <c r="AZ526" s="35" t="s">
        <v>832</v>
      </c>
      <c r="BA526" s="18" t="s">
        <v>57</v>
      </c>
      <c r="BC526" s="33" t="n">
        <f aca="false">AW526+AX526</f>
        <v>0</v>
      </c>
      <c r="BD526" s="33" t="n">
        <f aca="false">G526/(100-BE526)*100</f>
        <v>0</v>
      </c>
      <c r="BE526" s="33" t="n">
        <v>0</v>
      </c>
      <c r="BF526" s="33" t="n">
        <f aca="false">534</f>
        <v>534</v>
      </c>
      <c r="BH526" s="33" t="n">
        <f aca="false">F526*AO526</f>
        <v>0</v>
      </c>
      <c r="BI526" s="33" t="n">
        <f aca="false">F526*AP526</f>
        <v>0</v>
      </c>
      <c r="BJ526" s="33" t="n">
        <f aca="false">F526*G526</f>
        <v>0</v>
      </c>
      <c r="BK526" s="33"/>
      <c r="BL526" s="33"/>
      <c r="BW526" s="33" t="n">
        <v>12</v>
      </c>
      <c r="BX526" s="9" t="s">
        <v>1014</v>
      </c>
    </row>
    <row r="527" customFormat="false" ht="15" hidden="false" customHeight="false" outlineLevel="0" collapsed="false">
      <c r="A527" s="36"/>
      <c r="C527" s="37" t="s">
        <v>450</v>
      </c>
      <c r="D527" s="37"/>
      <c r="F527" s="38" t="n">
        <v>72</v>
      </c>
      <c r="K527" s="39"/>
    </row>
    <row r="528" customFormat="false" ht="15" hidden="false" customHeight="true" outlineLevel="0" collapsed="false">
      <c r="A528" s="32" t="s">
        <v>1015</v>
      </c>
      <c r="B528" s="10" t="s">
        <v>1016</v>
      </c>
      <c r="C528" s="9" t="s">
        <v>1017</v>
      </c>
      <c r="D528" s="9"/>
      <c r="E528" s="10" t="s">
        <v>1018</v>
      </c>
      <c r="F528" s="33" t="n">
        <v>50</v>
      </c>
      <c r="G528" s="33" t="n">
        <v>0</v>
      </c>
      <c r="H528" s="33" t="n">
        <f aca="false">F528*AO528</f>
        <v>0</v>
      </c>
      <c r="I528" s="33" t="n">
        <f aca="false">F528*AP528</f>
        <v>0</v>
      </c>
      <c r="J528" s="33" t="n">
        <f aca="false">F528*G528</f>
        <v>0</v>
      </c>
      <c r="K528" s="34" t="s">
        <v>55</v>
      </c>
      <c r="Z528" s="33" t="n">
        <f aca="false">IF(AQ528="5",BJ528,0)</f>
        <v>0</v>
      </c>
      <c r="AB528" s="33" t="n">
        <f aca="false">IF(AQ528="1",BH528,0)</f>
        <v>0</v>
      </c>
      <c r="AC528" s="33" t="n">
        <f aca="false">IF(AQ528="1",BI528,0)</f>
        <v>0</v>
      </c>
      <c r="AD528" s="33" t="n">
        <f aca="false">IF(AQ528="7",BH528,0)</f>
        <v>0</v>
      </c>
      <c r="AE528" s="33" t="n">
        <f aca="false">IF(AQ528="7",BI528,0)</f>
        <v>0</v>
      </c>
      <c r="AF528" s="33" t="n">
        <f aca="false">IF(AQ528="2",BH528,0)</f>
        <v>0</v>
      </c>
      <c r="AG528" s="33" t="n">
        <f aca="false">IF(AQ528="2",BI528,0)</f>
        <v>0</v>
      </c>
      <c r="AH528" s="33" t="n">
        <f aca="false">IF(AQ528="0",BJ528,0)</f>
        <v>0</v>
      </c>
      <c r="AI528" s="18"/>
      <c r="AJ528" s="33" t="n">
        <f aca="false">IF(AN528=0,J528,0)</f>
        <v>0</v>
      </c>
      <c r="AK528" s="33" t="n">
        <f aca="false">IF(AN528=12,J528,0)</f>
        <v>0</v>
      </c>
      <c r="AL528" s="33" t="n">
        <f aca="false">IF(AN528=21,J528,0)</f>
        <v>0</v>
      </c>
      <c r="AN528" s="33" t="n">
        <v>12</v>
      </c>
      <c r="AO528" s="33" t="n">
        <f aca="false">G528*1</f>
        <v>0</v>
      </c>
      <c r="AP528" s="33" t="n">
        <f aca="false">G528*(1-1)</f>
        <v>0</v>
      </c>
      <c r="AQ528" s="35" t="s">
        <v>51</v>
      </c>
      <c r="AV528" s="33" t="n">
        <f aca="false">AW528+AX528</f>
        <v>0</v>
      </c>
      <c r="AW528" s="33" t="n">
        <f aca="false">F528*AO528</f>
        <v>0</v>
      </c>
      <c r="AX528" s="33" t="n">
        <f aca="false">F528*AP528</f>
        <v>0</v>
      </c>
      <c r="AY528" s="35" t="s">
        <v>917</v>
      </c>
      <c r="AZ528" s="35" t="s">
        <v>832</v>
      </c>
      <c r="BA528" s="18" t="s">
        <v>57</v>
      </c>
      <c r="BC528" s="33" t="n">
        <f aca="false">AW528+AX528</f>
        <v>0</v>
      </c>
      <c r="BD528" s="33" t="n">
        <f aca="false">G528/(100-BE528)*100</f>
        <v>0</v>
      </c>
      <c r="BE528" s="33" t="n">
        <v>0</v>
      </c>
      <c r="BF528" s="33" t="n">
        <f aca="false">536</f>
        <v>536</v>
      </c>
      <c r="BH528" s="33" t="n">
        <f aca="false">F528*AO528</f>
        <v>0</v>
      </c>
      <c r="BI528" s="33" t="n">
        <f aca="false">F528*AP528</f>
        <v>0</v>
      </c>
      <c r="BJ528" s="33" t="n">
        <f aca="false">F528*G528</f>
        <v>0</v>
      </c>
      <c r="BK528" s="33"/>
      <c r="BL528" s="33"/>
      <c r="BW528" s="33" t="n">
        <v>12</v>
      </c>
      <c r="BX528" s="9" t="s">
        <v>1017</v>
      </c>
    </row>
    <row r="529" customFormat="false" ht="15" hidden="false" customHeight="false" outlineLevel="0" collapsed="false">
      <c r="A529" s="36"/>
      <c r="C529" s="37" t="s">
        <v>224</v>
      </c>
      <c r="D529" s="37"/>
      <c r="F529" s="38" t="n">
        <v>50</v>
      </c>
      <c r="K529" s="39"/>
    </row>
    <row r="530" customFormat="false" ht="15" hidden="false" customHeight="true" outlineLevel="0" collapsed="false">
      <c r="A530" s="32" t="s">
        <v>1019</v>
      </c>
      <c r="B530" s="10" t="s">
        <v>1020</v>
      </c>
      <c r="C530" s="9" t="s">
        <v>1021</v>
      </c>
      <c r="D530" s="9"/>
      <c r="E530" s="10" t="s">
        <v>91</v>
      </c>
      <c r="F530" s="33" t="n">
        <v>580</v>
      </c>
      <c r="G530" s="33" t="n">
        <v>0</v>
      </c>
      <c r="H530" s="33" t="n">
        <f aca="false">F530*AO530</f>
        <v>0</v>
      </c>
      <c r="I530" s="33" t="n">
        <f aca="false">F530*AP530</f>
        <v>0</v>
      </c>
      <c r="J530" s="33" t="n">
        <f aca="false">F530*G530</f>
        <v>0</v>
      </c>
      <c r="K530" s="34" t="s">
        <v>55</v>
      </c>
      <c r="Z530" s="33" t="n">
        <f aca="false">IF(AQ530="5",BJ530,0)</f>
        <v>0</v>
      </c>
      <c r="AB530" s="33" t="n">
        <f aca="false">IF(AQ530="1",BH530,0)</f>
        <v>0</v>
      </c>
      <c r="AC530" s="33" t="n">
        <f aca="false">IF(AQ530="1",BI530,0)</f>
        <v>0</v>
      </c>
      <c r="AD530" s="33" t="n">
        <f aca="false">IF(AQ530="7",BH530,0)</f>
        <v>0</v>
      </c>
      <c r="AE530" s="33" t="n">
        <f aca="false">IF(AQ530="7",BI530,0)</f>
        <v>0</v>
      </c>
      <c r="AF530" s="33" t="n">
        <f aca="false">IF(AQ530="2",BH530,0)</f>
        <v>0</v>
      </c>
      <c r="AG530" s="33" t="n">
        <f aca="false">IF(AQ530="2",BI530,0)</f>
        <v>0</v>
      </c>
      <c r="AH530" s="33" t="n">
        <f aca="false">IF(AQ530="0",BJ530,0)</f>
        <v>0</v>
      </c>
      <c r="AI530" s="18"/>
      <c r="AJ530" s="33" t="n">
        <f aca="false">IF(AN530=0,J530,0)</f>
        <v>0</v>
      </c>
      <c r="AK530" s="33" t="n">
        <f aca="false">IF(AN530=12,J530,0)</f>
        <v>0</v>
      </c>
      <c r="AL530" s="33" t="n">
        <f aca="false">IF(AN530=21,J530,0)</f>
        <v>0</v>
      </c>
      <c r="AN530" s="33" t="n">
        <v>12</v>
      </c>
      <c r="AO530" s="33" t="n">
        <f aca="false">G530*0.253968254</f>
        <v>0</v>
      </c>
      <c r="AP530" s="33" t="n">
        <f aca="false">G530*(1-0.253968254)</f>
        <v>0</v>
      </c>
      <c r="AQ530" s="35" t="s">
        <v>58</v>
      </c>
      <c r="AV530" s="33" t="n">
        <f aca="false">AW530+AX530</f>
        <v>0</v>
      </c>
      <c r="AW530" s="33" t="n">
        <f aca="false">F530*AO530</f>
        <v>0</v>
      </c>
      <c r="AX530" s="33" t="n">
        <f aca="false">F530*AP530</f>
        <v>0</v>
      </c>
      <c r="AY530" s="35" t="s">
        <v>917</v>
      </c>
      <c r="AZ530" s="35" t="s">
        <v>832</v>
      </c>
      <c r="BA530" s="18" t="s">
        <v>57</v>
      </c>
      <c r="BC530" s="33" t="n">
        <f aca="false">AW530+AX530</f>
        <v>0</v>
      </c>
      <c r="BD530" s="33" t="n">
        <f aca="false">G530/(100-BE530)*100</f>
        <v>0</v>
      </c>
      <c r="BE530" s="33" t="n">
        <v>0</v>
      </c>
      <c r="BF530" s="33" t="n">
        <f aca="false">538</f>
        <v>538</v>
      </c>
      <c r="BH530" s="33" t="n">
        <f aca="false">F530*AO530</f>
        <v>0</v>
      </c>
      <c r="BI530" s="33" t="n">
        <f aca="false">F530*AP530</f>
        <v>0</v>
      </c>
      <c r="BJ530" s="33" t="n">
        <f aca="false">F530*G530</f>
        <v>0</v>
      </c>
      <c r="BK530" s="33"/>
      <c r="BL530" s="33"/>
      <c r="BW530" s="33" t="n">
        <v>12</v>
      </c>
      <c r="BX530" s="9" t="s">
        <v>1021</v>
      </c>
    </row>
    <row r="531" customFormat="false" ht="15" hidden="false" customHeight="false" outlineLevel="0" collapsed="false">
      <c r="A531" s="36"/>
      <c r="C531" s="37" t="s">
        <v>1002</v>
      </c>
      <c r="D531" s="37" t="s">
        <v>921</v>
      </c>
      <c r="F531" s="38" t="n">
        <v>580</v>
      </c>
      <c r="K531" s="39"/>
    </row>
    <row r="532" customFormat="false" ht="15" hidden="false" customHeight="true" outlineLevel="0" collapsed="false">
      <c r="A532" s="32" t="s">
        <v>1022</v>
      </c>
      <c r="B532" s="10" t="s">
        <v>955</v>
      </c>
      <c r="C532" s="9" t="s">
        <v>956</v>
      </c>
      <c r="D532" s="9"/>
      <c r="E532" s="10" t="s">
        <v>91</v>
      </c>
      <c r="F532" s="33" t="n">
        <v>100</v>
      </c>
      <c r="G532" s="33" t="n">
        <v>0</v>
      </c>
      <c r="H532" s="33" t="n">
        <f aca="false">F532*AO532</f>
        <v>0</v>
      </c>
      <c r="I532" s="33" t="n">
        <f aca="false">F532*AP532</f>
        <v>0</v>
      </c>
      <c r="J532" s="33" t="n">
        <f aca="false">F532*G532</f>
        <v>0</v>
      </c>
      <c r="K532" s="34" t="s">
        <v>55</v>
      </c>
      <c r="Z532" s="33" t="n">
        <f aca="false">IF(AQ532="5",BJ532,0)</f>
        <v>0</v>
      </c>
      <c r="AB532" s="33" t="n">
        <f aca="false">IF(AQ532="1",BH532,0)</f>
        <v>0</v>
      </c>
      <c r="AC532" s="33" t="n">
        <f aca="false">IF(AQ532="1",BI532,0)</f>
        <v>0</v>
      </c>
      <c r="AD532" s="33" t="n">
        <f aca="false">IF(AQ532="7",BH532,0)</f>
        <v>0</v>
      </c>
      <c r="AE532" s="33" t="n">
        <f aca="false">IF(AQ532="7",BI532,0)</f>
        <v>0</v>
      </c>
      <c r="AF532" s="33" t="n">
        <f aca="false">IF(AQ532="2",BH532,0)</f>
        <v>0</v>
      </c>
      <c r="AG532" s="33" t="n">
        <f aca="false">IF(AQ532="2",BI532,0)</f>
        <v>0</v>
      </c>
      <c r="AH532" s="33" t="n">
        <f aca="false">IF(AQ532="0",BJ532,0)</f>
        <v>0</v>
      </c>
      <c r="AI532" s="18"/>
      <c r="AJ532" s="33" t="n">
        <f aca="false">IF(AN532=0,J532,0)</f>
        <v>0</v>
      </c>
      <c r="AK532" s="33" t="n">
        <f aca="false">IF(AN532=12,J532,0)</f>
        <v>0</v>
      </c>
      <c r="AL532" s="33" t="n">
        <f aca="false">IF(AN532=21,J532,0)</f>
        <v>0</v>
      </c>
      <c r="AN532" s="33" t="n">
        <v>12</v>
      </c>
      <c r="AO532" s="33" t="n">
        <f aca="false">G532*0.299361702</f>
        <v>0</v>
      </c>
      <c r="AP532" s="33" t="n">
        <f aca="false">G532*(1-0.299361702)</f>
        <v>0</v>
      </c>
      <c r="AQ532" s="35" t="s">
        <v>58</v>
      </c>
      <c r="AV532" s="33" t="n">
        <f aca="false">AW532+AX532</f>
        <v>0</v>
      </c>
      <c r="AW532" s="33" t="n">
        <f aca="false">F532*AO532</f>
        <v>0</v>
      </c>
      <c r="AX532" s="33" t="n">
        <f aca="false">F532*AP532</f>
        <v>0</v>
      </c>
      <c r="AY532" s="35" t="s">
        <v>917</v>
      </c>
      <c r="AZ532" s="35" t="s">
        <v>832</v>
      </c>
      <c r="BA532" s="18" t="s">
        <v>57</v>
      </c>
      <c r="BC532" s="33" t="n">
        <f aca="false">AW532+AX532</f>
        <v>0</v>
      </c>
      <c r="BD532" s="33" t="n">
        <f aca="false">G532/(100-BE532)*100</f>
        <v>0</v>
      </c>
      <c r="BE532" s="33" t="n">
        <v>0</v>
      </c>
      <c r="BF532" s="33" t="n">
        <f aca="false">540</f>
        <v>540</v>
      </c>
      <c r="BH532" s="33" t="n">
        <f aca="false">F532*AO532</f>
        <v>0</v>
      </c>
      <c r="BI532" s="33" t="n">
        <f aca="false">F532*AP532</f>
        <v>0</v>
      </c>
      <c r="BJ532" s="33" t="n">
        <f aca="false">F532*G532</f>
        <v>0</v>
      </c>
      <c r="BK532" s="33"/>
      <c r="BL532" s="33"/>
      <c r="BW532" s="33" t="n">
        <v>12</v>
      </c>
      <c r="BX532" s="9" t="s">
        <v>956</v>
      </c>
    </row>
    <row r="533" customFormat="false" ht="15" hidden="false" customHeight="false" outlineLevel="0" collapsed="false">
      <c r="A533" s="36"/>
      <c r="C533" s="37" t="s">
        <v>560</v>
      </c>
      <c r="D533" s="37" t="s">
        <v>921</v>
      </c>
      <c r="F533" s="38" t="n">
        <v>100</v>
      </c>
      <c r="K533" s="39"/>
    </row>
    <row r="534" customFormat="false" ht="15" hidden="false" customHeight="true" outlineLevel="0" collapsed="false">
      <c r="A534" s="32" t="s">
        <v>1023</v>
      </c>
      <c r="B534" s="10" t="s">
        <v>1024</v>
      </c>
      <c r="C534" s="9" t="s">
        <v>1025</v>
      </c>
      <c r="D534" s="9"/>
      <c r="E534" s="10" t="s">
        <v>163</v>
      </c>
      <c r="F534" s="33" t="n">
        <v>18</v>
      </c>
      <c r="G534" s="33" t="n">
        <v>0</v>
      </c>
      <c r="H534" s="33" t="n">
        <f aca="false">F534*AO534</f>
        <v>0</v>
      </c>
      <c r="I534" s="33" t="n">
        <f aca="false">F534*AP534</f>
        <v>0</v>
      </c>
      <c r="J534" s="33" t="n">
        <f aca="false">F534*G534</f>
        <v>0</v>
      </c>
      <c r="K534" s="34" t="s">
        <v>55</v>
      </c>
      <c r="Z534" s="33" t="n">
        <f aca="false">IF(AQ534="5",BJ534,0)</f>
        <v>0</v>
      </c>
      <c r="AB534" s="33" t="n">
        <f aca="false">IF(AQ534="1",BH534,0)</f>
        <v>0</v>
      </c>
      <c r="AC534" s="33" t="n">
        <f aca="false">IF(AQ534="1",BI534,0)</f>
        <v>0</v>
      </c>
      <c r="AD534" s="33" t="n">
        <f aca="false">IF(AQ534="7",BH534,0)</f>
        <v>0</v>
      </c>
      <c r="AE534" s="33" t="n">
        <f aca="false">IF(AQ534="7",BI534,0)</f>
        <v>0</v>
      </c>
      <c r="AF534" s="33" t="n">
        <f aca="false">IF(AQ534="2",BH534,0)</f>
        <v>0</v>
      </c>
      <c r="AG534" s="33" t="n">
        <f aca="false">IF(AQ534="2",BI534,0)</f>
        <v>0</v>
      </c>
      <c r="AH534" s="33" t="n">
        <f aca="false">IF(AQ534="0",BJ534,0)</f>
        <v>0</v>
      </c>
      <c r="AI534" s="18"/>
      <c r="AJ534" s="33" t="n">
        <f aca="false">IF(AN534=0,J534,0)</f>
        <v>0</v>
      </c>
      <c r="AK534" s="33" t="n">
        <f aca="false">IF(AN534=12,J534,0)</f>
        <v>0</v>
      </c>
      <c r="AL534" s="33" t="n">
        <f aca="false">IF(AN534=21,J534,0)</f>
        <v>0</v>
      </c>
      <c r="AN534" s="33" t="n">
        <v>12</v>
      </c>
      <c r="AO534" s="33" t="n">
        <f aca="false">G534*0.453340909</f>
        <v>0</v>
      </c>
      <c r="AP534" s="33" t="n">
        <f aca="false">G534*(1-0.453340909)</f>
        <v>0</v>
      </c>
      <c r="AQ534" s="35" t="s">
        <v>58</v>
      </c>
      <c r="AV534" s="33" t="n">
        <f aca="false">AW534+AX534</f>
        <v>0</v>
      </c>
      <c r="AW534" s="33" t="n">
        <f aca="false">F534*AO534</f>
        <v>0</v>
      </c>
      <c r="AX534" s="33" t="n">
        <f aca="false">F534*AP534</f>
        <v>0</v>
      </c>
      <c r="AY534" s="35" t="s">
        <v>917</v>
      </c>
      <c r="AZ534" s="35" t="s">
        <v>832</v>
      </c>
      <c r="BA534" s="18" t="s">
        <v>57</v>
      </c>
      <c r="BC534" s="33" t="n">
        <f aca="false">AW534+AX534</f>
        <v>0</v>
      </c>
      <c r="BD534" s="33" t="n">
        <f aca="false">G534/(100-BE534)*100</f>
        <v>0</v>
      </c>
      <c r="BE534" s="33" t="n">
        <v>0</v>
      </c>
      <c r="BF534" s="33" t="n">
        <f aca="false">542</f>
        <v>542</v>
      </c>
      <c r="BH534" s="33" t="n">
        <f aca="false">F534*AO534</f>
        <v>0</v>
      </c>
      <c r="BI534" s="33" t="n">
        <f aca="false">F534*AP534</f>
        <v>0</v>
      </c>
      <c r="BJ534" s="33" t="n">
        <f aca="false">F534*G534</f>
        <v>0</v>
      </c>
      <c r="BK534" s="33"/>
      <c r="BL534" s="33"/>
      <c r="BW534" s="33" t="n">
        <v>12</v>
      </c>
      <c r="BX534" s="9" t="s">
        <v>1025</v>
      </c>
    </row>
    <row r="535" customFormat="false" ht="15" hidden="false" customHeight="false" outlineLevel="0" collapsed="false">
      <c r="A535" s="36"/>
      <c r="C535" s="37" t="s">
        <v>119</v>
      </c>
      <c r="D535" s="37"/>
      <c r="F535" s="38" t="n">
        <v>18</v>
      </c>
      <c r="K535" s="39"/>
    </row>
    <row r="536" customFormat="false" ht="15" hidden="false" customHeight="true" outlineLevel="0" collapsed="false">
      <c r="A536" s="32" t="s">
        <v>1026</v>
      </c>
      <c r="B536" s="10" t="s">
        <v>1027</v>
      </c>
      <c r="C536" s="9" t="s">
        <v>1028</v>
      </c>
      <c r="D536" s="9"/>
      <c r="E536" s="10" t="s">
        <v>163</v>
      </c>
      <c r="F536" s="33" t="n">
        <v>5</v>
      </c>
      <c r="G536" s="33" t="n">
        <v>0</v>
      </c>
      <c r="H536" s="33" t="n">
        <f aca="false">F536*AO536</f>
        <v>0</v>
      </c>
      <c r="I536" s="33" t="n">
        <f aca="false">F536*AP536</f>
        <v>0</v>
      </c>
      <c r="J536" s="33" t="n">
        <f aca="false">F536*G536</f>
        <v>0</v>
      </c>
      <c r="K536" s="34" t="s">
        <v>55</v>
      </c>
      <c r="Z536" s="33" t="n">
        <f aca="false">IF(AQ536="5",BJ536,0)</f>
        <v>0</v>
      </c>
      <c r="AB536" s="33" t="n">
        <f aca="false">IF(AQ536="1",BH536,0)</f>
        <v>0</v>
      </c>
      <c r="AC536" s="33" t="n">
        <f aca="false">IF(AQ536="1",BI536,0)</f>
        <v>0</v>
      </c>
      <c r="AD536" s="33" t="n">
        <f aca="false">IF(AQ536="7",BH536,0)</f>
        <v>0</v>
      </c>
      <c r="AE536" s="33" t="n">
        <f aca="false">IF(AQ536="7",BI536,0)</f>
        <v>0</v>
      </c>
      <c r="AF536" s="33" t="n">
        <f aca="false">IF(AQ536="2",BH536,0)</f>
        <v>0</v>
      </c>
      <c r="AG536" s="33" t="n">
        <f aca="false">IF(AQ536="2",BI536,0)</f>
        <v>0</v>
      </c>
      <c r="AH536" s="33" t="n">
        <f aca="false">IF(AQ536="0",BJ536,0)</f>
        <v>0</v>
      </c>
      <c r="AI536" s="18"/>
      <c r="AJ536" s="33" t="n">
        <f aca="false">IF(AN536=0,J536,0)</f>
        <v>0</v>
      </c>
      <c r="AK536" s="33" t="n">
        <f aca="false">IF(AN536=12,J536,0)</f>
        <v>0</v>
      </c>
      <c r="AL536" s="33" t="n">
        <f aca="false">IF(AN536=21,J536,0)</f>
        <v>0</v>
      </c>
      <c r="AN536" s="33" t="n">
        <v>12</v>
      </c>
      <c r="AO536" s="33" t="n">
        <f aca="false">G536*0.825484765</f>
        <v>0</v>
      </c>
      <c r="AP536" s="33" t="n">
        <f aca="false">G536*(1-0.825484765)</f>
        <v>0</v>
      </c>
      <c r="AQ536" s="35" t="s">
        <v>58</v>
      </c>
      <c r="AV536" s="33" t="n">
        <f aca="false">AW536+AX536</f>
        <v>0</v>
      </c>
      <c r="AW536" s="33" t="n">
        <f aca="false">F536*AO536</f>
        <v>0</v>
      </c>
      <c r="AX536" s="33" t="n">
        <f aca="false">F536*AP536</f>
        <v>0</v>
      </c>
      <c r="AY536" s="35" t="s">
        <v>917</v>
      </c>
      <c r="AZ536" s="35" t="s">
        <v>832</v>
      </c>
      <c r="BA536" s="18" t="s">
        <v>57</v>
      </c>
      <c r="BC536" s="33" t="n">
        <f aca="false">AW536+AX536</f>
        <v>0</v>
      </c>
      <c r="BD536" s="33" t="n">
        <f aca="false">G536/(100-BE536)*100</f>
        <v>0</v>
      </c>
      <c r="BE536" s="33" t="n">
        <v>0</v>
      </c>
      <c r="BF536" s="33" t="n">
        <f aca="false">544</f>
        <v>544</v>
      </c>
      <c r="BH536" s="33" t="n">
        <f aca="false">F536*AO536</f>
        <v>0</v>
      </c>
      <c r="BI536" s="33" t="n">
        <f aca="false">F536*AP536</f>
        <v>0</v>
      </c>
      <c r="BJ536" s="33" t="n">
        <f aca="false">F536*G536</f>
        <v>0</v>
      </c>
      <c r="BK536" s="33"/>
      <c r="BL536" s="33"/>
      <c r="BW536" s="33" t="n">
        <v>12</v>
      </c>
      <c r="BX536" s="9" t="s">
        <v>1028</v>
      </c>
    </row>
    <row r="537" customFormat="false" ht="15" hidden="false" customHeight="false" outlineLevel="0" collapsed="false">
      <c r="A537" s="36"/>
      <c r="C537" s="37" t="s">
        <v>68</v>
      </c>
      <c r="D537" s="37"/>
      <c r="F537" s="38" t="n">
        <v>5</v>
      </c>
      <c r="K537" s="39"/>
    </row>
    <row r="538" customFormat="false" ht="15" hidden="false" customHeight="true" outlineLevel="0" collapsed="false">
      <c r="A538" s="32" t="s">
        <v>1029</v>
      </c>
      <c r="B538" s="10" t="s">
        <v>989</v>
      </c>
      <c r="C538" s="9" t="s">
        <v>1030</v>
      </c>
      <c r="D538" s="9"/>
      <c r="E538" s="10" t="s">
        <v>163</v>
      </c>
      <c r="F538" s="33" t="n">
        <v>6</v>
      </c>
      <c r="G538" s="33" t="n">
        <v>0</v>
      </c>
      <c r="H538" s="33" t="n">
        <f aca="false">F538*AO538</f>
        <v>0</v>
      </c>
      <c r="I538" s="33" t="n">
        <f aca="false">F538*AP538</f>
        <v>0</v>
      </c>
      <c r="J538" s="33" t="n">
        <f aca="false">F538*G538</f>
        <v>0</v>
      </c>
      <c r="K538" s="34" t="s">
        <v>55</v>
      </c>
      <c r="Z538" s="33" t="n">
        <f aca="false">IF(AQ538="5",BJ538,0)</f>
        <v>0</v>
      </c>
      <c r="AB538" s="33" t="n">
        <f aca="false">IF(AQ538="1",BH538,0)</f>
        <v>0</v>
      </c>
      <c r="AC538" s="33" t="n">
        <f aca="false">IF(AQ538="1",BI538,0)</f>
        <v>0</v>
      </c>
      <c r="AD538" s="33" t="n">
        <f aca="false">IF(AQ538="7",BH538,0)</f>
        <v>0</v>
      </c>
      <c r="AE538" s="33" t="n">
        <f aca="false">IF(AQ538="7",BI538,0)</f>
        <v>0</v>
      </c>
      <c r="AF538" s="33" t="n">
        <f aca="false">IF(AQ538="2",BH538,0)</f>
        <v>0</v>
      </c>
      <c r="AG538" s="33" t="n">
        <f aca="false">IF(AQ538="2",BI538,0)</f>
        <v>0</v>
      </c>
      <c r="AH538" s="33" t="n">
        <f aca="false">IF(AQ538="0",BJ538,0)</f>
        <v>0</v>
      </c>
      <c r="AI538" s="18"/>
      <c r="AJ538" s="33" t="n">
        <f aca="false">IF(AN538=0,J538,0)</f>
        <v>0</v>
      </c>
      <c r="AK538" s="33" t="n">
        <f aca="false">IF(AN538=12,J538,0)</f>
        <v>0</v>
      </c>
      <c r="AL538" s="33" t="n">
        <f aca="false">IF(AN538=21,J538,0)</f>
        <v>0</v>
      </c>
      <c r="AN538" s="33" t="n">
        <v>12</v>
      </c>
      <c r="AO538" s="33" t="n">
        <f aca="false">G538*0.541484716</f>
        <v>0</v>
      </c>
      <c r="AP538" s="33" t="n">
        <f aca="false">G538*(1-0.541484716)</f>
        <v>0</v>
      </c>
      <c r="AQ538" s="35" t="s">
        <v>58</v>
      </c>
      <c r="AV538" s="33" t="n">
        <f aca="false">AW538+AX538</f>
        <v>0</v>
      </c>
      <c r="AW538" s="33" t="n">
        <f aca="false">F538*AO538</f>
        <v>0</v>
      </c>
      <c r="AX538" s="33" t="n">
        <f aca="false">F538*AP538</f>
        <v>0</v>
      </c>
      <c r="AY538" s="35" t="s">
        <v>917</v>
      </c>
      <c r="AZ538" s="35" t="s">
        <v>832</v>
      </c>
      <c r="BA538" s="18" t="s">
        <v>57</v>
      </c>
      <c r="BC538" s="33" t="n">
        <f aca="false">AW538+AX538</f>
        <v>0</v>
      </c>
      <c r="BD538" s="33" t="n">
        <f aca="false">G538/(100-BE538)*100</f>
        <v>0</v>
      </c>
      <c r="BE538" s="33" t="n">
        <v>0</v>
      </c>
      <c r="BF538" s="33" t="n">
        <f aca="false">546</f>
        <v>546</v>
      </c>
      <c r="BH538" s="33" t="n">
        <f aca="false">F538*AO538</f>
        <v>0</v>
      </c>
      <c r="BI538" s="33" t="n">
        <f aca="false">F538*AP538</f>
        <v>0</v>
      </c>
      <c r="BJ538" s="33" t="n">
        <f aca="false">F538*G538</f>
        <v>0</v>
      </c>
      <c r="BK538" s="33"/>
      <c r="BL538" s="33"/>
      <c r="BW538" s="33" t="n">
        <v>12</v>
      </c>
      <c r="BX538" s="9" t="s">
        <v>1030</v>
      </c>
    </row>
    <row r="539" customFormat="false" ht="15" hidden="false" customHeight="false" outlineLevel="0" collapsed="false">
      <c r="A539" s="36"/>
      <c r="C539" s="37" t="s">
        <v>72</v>
      </c>
      <c r="D539" s="37"/>
      <c r="F539" s="38" t="n">
        <v>6</v>
      </c>
      <c r="K539" s="39"/>
    </row>
    <row r="540" customFormat="false" ht="15" hidden="false" customHeight="true" outlineLevel="0" collapsed="false">
      <c r="A540" s="32" t="s">
        <v>1031</v>
      </c>
      <c r="B540" s="10" t="s">
        <v>1032</v>
      </c>
      <c r="C540" s="9" t="s">
        <v>1033</v>
      </c>
      <c r="D540" s="9"/>
      <c r="E540" s="10" t="s">
        <v>163</v>
      </c>
      <c r="F540" s="33" t="n">
        <v>95</v>
      </c>
      <c r="G540" s="33" t="n">
        <v>0</v>
      </c>
      <c r="H540" s="33" t="n">
        <f aca="false">F540*AO540</f>
        <v>0</v>
      </c>
      <c r="I540" s="33" t="n">
        <f aca="false">F540*AP540</f>
        <v>0</v>
      </c>
      <c r="J540" s="33" t="n">
        <f aca="false">F540*G540</f>
        <v>0</v>
      </c>
      <c r="K540" s="34" t="s">
        <v>55</v>
      </c>
      <c r="Z540" s="33" t="n">
        <f aca="false">IF(AQ540="5",BJ540,0)</f>
        <v>0</v>
      </c>
      <c r="AB540" s="33" t="n">
        <f aca="false">IF(AQ540="1",BH540,0)</f>
        <v>0</v>
      </c>
      <c r="AC540" s="33" t="n">
        <f aca="false">IF(AQ540="1",BI540,0)</f>
        <v>0</v>
      </c>
      <c r="AD540" s="33" t="n">
        <f aca="false">IF(AQ540="7",BH540,0)</f>
        <v>0</v>
      </c>
      <c r="AE540" s="33" t="n">
        <f aca="false">IF(AQ540="7",BI540,0)</f>
        <v>0</v>
      </c>
      <c r="AF540" s="33" t="n">
        <f aca="false">IF(AQ540="2",BH540,0)</f>
        <v>0</v>
      </c>
      <c r="AG540" s="33" t="n">
        <f aca="false">IF(AQ540="2",BI540,0)</f>
        <v>0</v>
      </c>
      <c r="AH540" s="33" t="n">
        <f aca="false">IF(AQ540="0",BJ540,0)</f>
        <v>0</v>
      </c>
      <c r="AI540" s="18"/>
      <c r="AJ540" s="33" t="n">
        <f aca="false">IF(AN540=0,J540,0)</f>
        <v>0</v>
      </c>
      <c r="AK540" s="33" t="n">
        <f aca="false">IF(AN540=12,J540,0)</f>
        <v>0</v>
      </c>
      <c r="AL540" s="33" t="n">
        <f aca="false">IF(AN540=21,J540,0)</f>
        <v>0</v>
      </c>
      <c r="AN540" s="33" t="n">
        <v>12</v>
      </c>
      <c r="AO540" s="33" t="n">
        <f aca="false">G540*0.837735849</f>
        <v>0</v>
      </c>
      <c r="AP540" s="33" t="n">
        <f aca="false">G540*(1-0.837735849)</f>
        <v>0</v>
      </c>
      <c r="AQ540" s="35" t="s">
        <v>58</v>
      </c>
      <c r="AV540" s="33" t="n">
        <f aca="false">AW540+AX540</f>
        <v>0</v>
      </c>
      <c r="AW540" s="33" t="n">
        <f aca="false">F540*AO540</f>
        <v>0</v>
      </c>
      <c r="AX540" s="33" t="n">
        <f aca="false">F540*AP540</f>
        <v>0</v>
      </c>
      <c r="AY540" s="35" t="s">
        <v>917</v>
      </c>
      <c r="AZ540" s="35" t="s">
        <v>832</v>
      </c>
      <c r="BA540" s="18" t="s">
        <v>57</v>
      </c>
      <c r="BC540" s="33" t="n">
        <f aca="false">AW540+AX540</f>
        <v>0</v>
      </c>
      <c r="BD540" s="33" t="n">
        <f aca="false">G540/(100-BE540)*100</f>
        <v>0</v>
      </c>
      <c r="BE540" s="33" t="n">
        <v>0</v>
      </c>
      <c r="BF540" s="33" t="n">
        <f aca="false">548</f>
        <v>548</v>
      </c>
      <c r="BH540" s="33" t="n">
        <f aca="false">F540*AO540</f>
        <v>0</v>
      </c>
      <c r="BI540" s="33" t="n">
        <f aca="false">F540*AP540</f>
        <v>0</v>
      </c>
      <c r="BJ540" s="33" t="n">
        <f aca="false">F540*G540</f>
        <v>0</v>
      </c>
      <c r="BK540" s="33"/>
      <c r="BL540" s="33"/>
      <c r="BW540" s="33" t="n">
        <v>12</v>
      </c>
      <c r="BX540" s="9" t="s">
        <v>1033</v>
      </c>
    </row>
    <row r="541" customFormat="false" ht="15" hidden="false" customHeight="false" outlineLevel="0" collapsed="false">
      <c r="A541" s="36"/>
      <c r="C541" s="37" t="s">
        <v>546</v>
      </c>
      <c r="D541" s="37"/>
      <c r="F541" s="38" t="n">
        <v>95</v>
      </c>
      <c r="K541" s="39"/>
    </row>
    <row r="542" customFormat="false" ht="15" hidden="false" customHeight="true" outlineLevel="0" collapsed="false">
      <c r="A542" s="32" t="s">
        <v>1034</v>
      </c>
      <c r="B542" s="10" t="s">
        <v>1035</v>
      </c>
      <c r="C542" s="9" t="s">
        <v>1036</v>
      </c>
      <c r="D542" s="9"/>
      <c r="E542" s="10" t="s">
        <v>54</v>
      </c>
      <c r="F542" s="33" t="n">
        <v>6</v>
      </c>
      <c r="G542" s="33" t="n">
        <v>0</v>
      </c>
      <c r="H542" s="33" t="n">
        <f aca="false">F542*AO542</f>
        <v>0</v>
      </c>
      <c r="I542" s="33" t="n">
        <f aca="false">F542*AP542</f>
        <v>0</v>
      </c>
      <c r="J542" s="33" t="n">
        <f aca="false">F542*G542</f>
        <v>0</v>
      </c>
      <c r="K542" s="34" t="s">
        <v>55</v>
      </c>
      <c r="Z542" s="33" t="n">
        <f aca="false">IF(AQ542="5",BJ542,0)</f>
        <v>0</v>
      </c>
      <c r="AB542" s="33" t="n">
        <f aca="false">IF(AQ542="1",BH542,0)</f>
        <v>0</v>
      </c>
      <c r="AC542" s="33" t="n">
        <f aca="false">IF(AQ542="1",BI542,0)</f>
        <v>0</v>
      </c>
      <c r="AD542" s="33" t="n">
        <f aca="false">IF(AQ542="7",BH542,0)</f>
        <v>0</v>
      </c>
      <c r="AE542" s="33" t="n">
        <f aca="false">IF(AQ542="7",BI542,0)</f>
        <v>0</v>
      </c>
      <c r="AF542" s="33" t="n">
        <f aca="false">IF(AQ542="2",BH542,0)</f>
        <v>0</v>
      </c>
      <c r="AG542" s="33" t="n">
        <f aca="false">IF(AQ542="2",BI542,0)</f>
        <v>0</v>
      </c>
      <c r="AH542" s="33" t="n">
        <f aca="false">IF(AQ542="0",BJ542,0)</f>
        <v>0</v>
      </c>
      <c r="AI542" s="18"/>
      <c r="AJ542" s="33" t="n">
        <f aca="false">IF(AN542=0,J542,0)</f>
        <v>0</v>
      </c>
      <c r="AK542" s="33" t="n">
        <f aca="false">IF(AN542=12,J542,0)</f>
        <v>0</v>
      </c>
      <c r="AL542" s="33" t="n">
        <f aca="false">IF(AN542=21,J542,0)</f>
        <v>0</v>
      </c>
      <c r="AN542" s="33" t="n">
        <v>12</v>
      </c>
      <c r="AO542" s="33" t="n">
        <f aca="false">G542*0</f>
        <v>0</v>
      </c>
      <c r="AP542" s="33" t="n">
        <f aca="false">G542*(1-0)</f>
        <v>0</v>
      </c>
      <c r="AQ542" s="35" t="s">
        <v>58</v>
      </c>
      <c r="AV542" s="33" t="n">
        <f aca="false">AW542+AX542</f>
        <v>0</v>
      </c>
      <c r="AW542" s="33" t="n">
        <f aca="false">F542*AO542</f>
        <v>0</v>
      </c>
      <c r="AX542" s="33" t="n">
        <f aca="false">F542*AP542</f>
        <v>0</v>
      </c>
      <c r="AY542" s="35" t="s">
        <v>917</v>
      </c>
      <c r="AZ542" s="35" t="s">
        <v>832</v>
      </c>
      <c r="BA542" s="18" t="s">
        <v>57</v>
      </c>
      <c r="BC542" s="33" t="n">
        <f aca="false">AW542+AX542</f>
        <v>0</v>
      </c>
      <c r="BD542" s="33" t="n">
        <f aca="false">G542/(100-BE542)*100</f>
        <v>0</v>
      </c>
      <c r="BE542" s="33" t="n">
        <v>0</v>
      </c>
      <c r="BF542" s="33" t="n">
        <f aca="false">550</f>
        <v>550</v>
      </c>
      <c r="BH542" s="33" t="n">
        <f aca="false">F542*AO542</f>
        <v>0</v>
      </c>
      <c r="BI542" s="33" t="n">
        <f aca="false">F542*AP542</f>
        <v>0</v>
      </c>
      <c r="BJ542" s="33" t="n">
        <f aca="false">F542*G542</f>
        <v>0</v>
      </c>
      <c r="BK542" s="33"/>
      <c r="BL542" s="33"/>
      <c r="BW542" s="33" t="n">
        <v>12</v>
      </c>
      <c r="BX542" s="9" t="s">
        <v>1036</v>
      </c>
    </row>
    <row r="543" customFormat="false" ht="15" hidden="false" customHeight="false" outlineLevel="0" collapsed="false">
      <c r="A543" s="36"/>
      <c r="C543" s="37" t="s">
        <v>72</v>
      </c>
      <c r="D543" s="37"/>
      <c r="F543" s="38" t="n">
        <v>6</v>
      </c>
      <c r="K543" s="39"/>
    </row>
    <row r="544" customFormat="false" ht="15" hidden="false" customHeight="true" outlineLevel="0" collapsed="false">
      <c r="A544" s="32" t="s">
        <v>1037</v>
      </c>
      <c r="B544" s="10" t="s">
        <v>1038</v>
      </c>
      <c r="C544" s="9" t="s">
        <v>1039</v>
      </c>
      <c r="D544" s="9"/>
      <c r="E544" s="10" t="s">
        <v>830</v>
      </c>
      <c r="F544" s="33" t="n">
        <v>20</v>
      </c>
      <c r="G544" s="33" t="n">
        <v>0</v>
      </c>
      <c r="H544" s="33" t="n">
        <f aca="false">F544*AO544</f>
        <v>0</v>
      </c>
      <c r="I544" s="33" t="n">
        <f aca="false">F544*AP544</f>
        <v>0</v>
      </c>
      <c r="J544" s="33" t="n">
        <f aca="false">F544*G544</f>
        <v>0</v>
      </c>
      <c r="K544" s="34" t="s">
        <v>55</v>
      </c>
      <c r="Z544" s="33" t="n">
        <f aca="false">IF(AQ544="5",BJ544,0)</f>
        <v>0</v>
      </c>
      <c r="AB544" s="33" t="n">
        <f aca="false">IF(AQ544="1",BH544,0)</f>
        <v>0</v>
      </c>
      <c r="AC544" s="33" t="n">
        <f aca="false">IF(AQ544="1",BI544,0)</f>
        <v>0</v>
      </c>
      <c r="AD544" s="33" t="n">
        <f aca="false">IF(AQ544="7",BH544,0)</f>
        <v>0</v>
      </c>
      <c r="AE544" s="33" t="n">
        <f aca="false">IF(AQ544="7",BI544,0)</f>
        <v>0</v>
      </c>
      <c r="AF544" s="33" t="n">
        <f aca="false">IF(AQ544="2",BH544,0)</f>
        <v>0</v>
      </c>
      <c r="AG544" s="33" t="n">
        <f aca="false">IF(AQ544="2",BI544,0)</f>
        <v>0</v>
      </c>
      <c r="AH544" s="33" t="n">
        <f aca="false">IF(AQ544="0",BJ544,0)</f>
        <v>0</v>
      </c>
      <c r="AI544" s="18"/>
      <c r="AJ544" s="33" t="n">
        <f aca="false">IF(AN544=0,J544,0)</f>
        <v>0</v>
      </c>
      <c r="AK544" s="33" t="n">
        <f aca="false">IF(AN544=12,J544,0)</f>
        <v>0</v>
      </c>
      <c r="AL544" s="33" t="n">
        <f aca="false">IF(AN544=21,J544,0)</f>
        <v>0</v>
      </c>
      <c r="AN544" s="33" t="n">
        <v>12</v>
      </c>
      <c r="AO544" s="33" t="n">
        <f aca="false">G544*0</f>
        <v>0</v>
      </c>
      <c r="AP544" s="33" t="n">
        <f aca="false">G544*(1-0)</f>
        <v>0</v>
      </c>
      <c r="AQ544" s="35" t="s">
        <v>51</v>
      </c>
      <c r="AV544" s="33" t="n">
        <f aca="false">AW544+AX544</f>
        <v>0</v>
      </c>
      <c r="AW544" s="33" t="n">
        <f aca="false">F544*AO544</f>
        <v>0</v>
      </c>
      <c r="AX544" s="33" t="n">
        <f aca="false">F544*AP544</f>
        <v>0</v>
      </c>
      <c r="AY544" s="35" t="s">
        <v>917</v>
      </c>
      <c r="AZ544" s="35" t="s">
        <v>832</v>
      </c>
      <c r="BA544" s="18" t="s">
        <v>57</v>
      </c>
      <c r="BC544" s="33" t="n">
        <f aca="false">AW544+AX544</f>
        <v>0</v>
      </c>
      <c r="BD544" s="33" t="n">
        <f aca="false">G544/(100-BE544)*100</f>
        <v>0</v>
      </c>
      <c r="BE544" s="33" t="n">
        <v>0</v>
      </c>
      <c r="BF544" s="33" t="n">
        <f aca="false">552</f>
        <v>552</v>
      </c>
      <c r="BH544" s="33" t="n">
        <f aca="false">F544*AO544</f>
        <v>0</v>
      </c>
      <c r="BI544" s="33" t="n">
        <f aca="false">F544*AP544</f>
        <v>0</v>
      </c>
      <c r="BJ544" s="33" t="n">
        <f aca="false">F544*G544</f>
        <v>0</v>
      </c>
      <c r="BK544" s="33"/>
      <c r="BL544" s="33"/>
      <c r="BW544" s="33" t="n">
        <v>12</v>
      </c>
      <c r="BX544" s="9" t="s">
        <v>1039</v>
      </c>
    </row>
    <row r="545" customFormat="false" ht="15" hidden="false" customHeight="false" outlineLevel="0" collapsed="false">
      <c r="A545" s="36"/>
      <c r="C545" s="37" t="s">
        <v>165</v>
      </c>
      <c r="D545" s="37"/>
      <c r="F545" s="38" t="n">
        <v>20</v>
      </c>
      <c r="K545" s="39"/>
    </row>
    <row r="546" customFormat="false" ht="15" hidden="false" customHeight="true" outlineLevel="0" collapsed="false">
      <c r="A546" s="32" t="s">
        <v>1040</v>
      </c>
      <c r="B546" s="10" t="s">
        <v>1041</v>
      </c>
      <c r="C546" s="9" t="s">
        <v>1042</v>
      </c>
      <c r="D546" s="9"/>
      <c r="E546" s="10" t="s">
        <v>830</v>
      </c>
      <c r="F546" s="33" t="n">
        <v>20</v>
      </c>
      <c r="G546" s="33" t="n">
        <v>0</v>
      </c>
      <c r="H546" s="33" t="n">
        <f aca="false">F546*AO546</f>
        <v>0</v>
      </c>
      <c r="I546" s="33" t="n">
        <f aca="false">F546*AP546</f>
        <v>0</v>
      </c>
      <c r="J546" s="33" t="n">
        <f aca="false">F546*G546</f>
        <v>0</v>
      </c>
      <c r="K546" s="34" t="s">
        <v>55</v>
      </c>
      <c r="Z546" s="33" t="n">
        <f aca="false">IF(AQ546="5",BJ546,0)</f>
        <v>0</v>
      </c>
      <c r="AB546" s="33" t="n">
        <f aca="false">IF(AQ546="1",BH546,0)</f>
        <v>0</v>
      </c>
      <c r="AC546" s="33" t="n">
        <f aca="false">IF(AQ546="1",BI546,0)</f>
        <v>0</v>
      </c>
      <c r="AD546" s="33" t="n">
        <f aca="false">IF(AQ546="7",BH546,0)</f>
        <v>0</v>
      </c>
      <c r="AE546" s="33" t="n">
        <f aca="false">IF(AQ546="7",BI546,0)</f>
        <v>0</v>
      </c>
      <c r="AF546" s="33" t="n">
        <f aca="false">IF(AQ546="2",BH546,0)</f>
        <v>0</v>
      </c>
      <c r="AG546" s="33" t="n">
        <f aca="false">IF(AQ546="2",BI546,0)</f>
        <v>0</v>
      </c>
      <c r="AH546" s="33" t="n">
        <f aca="false">IF(AQ546="0",BJ546,0)</f>
        <v>0</v>
      </c>
      <c r="AI546" s="18"/>
      <c r="AJ546" s="33" t="n">
        <f aca="false">IF(AN546=0,J546,0)</f>
        <v>0</v>
      </c>
      <c r="AK546" s="33" t="n">
        <f aca="false">IF(AN546=12,J546,0)</f>
        <v>0</v>
      </c>
      <c r="AL546" s="33" t="n">
        <f aca="false">IF(AN546=21,J546,0)</f>
        <v>0</v>
      </c>
      <c r="AN546" s="33" t="n">
        <v>12</v>
      </c>
      <c r="AO546" s="33" t="n">
        <f aca="false">G546*0</f>
        <v>0</v>
      </c>
      <c r="AP546" s="33" t="n">
        <f aca="false">G546*(1-0)</f>
        <v>0</v>
      </c>
      <c r="AQ546" s="35" t="s">
        <v>51</v>
      </c>
      <c r="AV546" s="33" t="n">
        <f aca="false">AW546+AX546</f>
        <v>0</v>
      </c>
      <c r="AW546" s="33" t="n">
        <f aca="false">F546*AO546</f>
        <v>0</v>
      </c>
      <c r="AX546" s="33" t="n">
        <f aca="false">F546*AP546</f>
        <v>0</v>
      </c>
      <c r="AY546" s="35" t="s">
        <v>917</v>
      </c>
      <c r="AZ546" s="35" t="s">
        <v>832</v>
      </c>
      <c r="BA546" s="18" t="s">
        <v>57</v>
      </c>
      <c r="BC546" s="33" t="n">
        <f aca="false">AW546+AX546</f>
        <v>0</v>
      </c>
      <c r="BD546" s="33" t="n">
        <f aca="false">G546/(100-BE546)*100</f>
        <v>0</v>
      </c>
      <c r="BE546" s="33" t="n">
        <v>0</v>
      </c>
      <c r="BF546" s="33" t="n">
        <f aca="false">554</f>
        <v>554</v>
      </c>
      <c r="BH546" s="33" t="n">
        <f aca="false">F546*AO546</f>
        <v>0</v>
      </c>
      <c r="BI546" s="33" t="n">
        <f aca="false">F546*AP546</f>
        <v>0</v>
      </c>
      <c r="BJ546" s="33" t="n">
        <f aca="false">F546*G546</f>
        <v>0</v>
      </c>
      <c r="BK546" s="33"/>
      <c r="BL546" s="33"/>
      <c r="BW546" s="33" t="n">
        <v>12</v>
      </c>
      <c r="BX546" s="9" t="s">
        <v>1042</v>
      </c>
    </row>
    <row r="547" customFormat="false" ht="15" hidden="false" customHeight="false" outlineLevel="0" collapsed="false">
      <c r="A547" s="36"/>
      <c r="C547" s="37" t="s">
        <v>165</v>
      </c>
      <c r="D547" s="37" t="s">
        <v>1043</v>
      </c>
      <c r="F547" s="38" t="n">
        <v>20</v>
      </c>
      <c r="K547" s="39"/>
    </row>
    <row r="548" customFormat="false" ht="15" hidden="false" customHeight="true" outlineLevel="0" collapsed="false">
      <c r="A548" s="32" t="s">
        <v>1044</v>
      </c>
      <c r="B548" s="10" t="s">
        <v>1045</v>
      </c>
      <c r="C548" s="9" t="s">
        <v>1046</v>
      </c>
      <c r="D548" s="9"/>
      <c r="E548" s="10" t="s">
        <v>54</v>
      </c>
      <c r="F548" s="33" t="n">
        <v>1</v>
      </c>
      <c r="G548" s="33" t="n">
        <v>0</v>
      </c>
      <c r="H548" s="33" t="n">
        <f aca="false">F548*AO548</f>
        <v>0</v>
      </c>
      <c r="I548" s="33" t="n">
        <f aca="false">F548*AP548</f>
        <v>0</v>
      </c>
      <c r="J548" s="33" t="n">
        <f aca="false">F548*G548</f>
        <v>0</v>
      </c>
      <c r="K548" s="34" t="s">
        <v>55</v>
      </c>
      <c r="Z548" s="33" t="n">
        <f aca="false">IF(AQ548="5",BJ548,0)</f>
        <v>0</v>
      </c>
      <c r="AB548" s="33" t="n">
        <f aca="false">IF(AQ548="1",BH548,0)</f>
        <v>0</v>
      </c>
      <c r="AC548" s="33" t="n">
        <f aca="false">IF(AQ548="1",BI548,0)</f>
        <v>0</v>
      </c>
      <c r="AD548" s="33" t="n">
        <f aca="false">IF(AQ548="7",BH548,0)</f>
        <v>0</v>
      </c>
      <c r="AE548" s="33" t="n">
        <f aca="false">IF(AQ548="7",BI548,0)</f>
        <v>0</v>
      </c>
      <c r="AF548" s="33" t="n">
        <f aca="false">IF(AQ548="2",BH548,0)</f>
        <v>0</v>
      </c>
      <c r="AG548" s="33" t="n">
        <f aca="false">IF(AQ548="2",BI548,0)</f>
        <v>0</v>
      </c>
      <c r="AH548" s="33" t="n">
        <f aca="false">IF(AQ548="0",BJ548,0)</f>
        <v>0</v>
      </c>
      <c r="AI548" s="18"/>
      <c r="AJ548" s="33" t="n">
        <f aca="false">IF(AN548=0,J548,0)</f>
        <v>0</v>
      </c>
      <c r="AK548" s="33" t="n">
        <f aca="false">IF(AN548=12,J548,0)</f>
        <v>0</v>
      </c>
      <c r="AL548" s="33" t="n">
        <f aca="false">IF(AN548=21,J548,0)</f>
        <v>0</v>
      </c>
      <c r="AN548" s="33" t="n">
        <v>12</v>
      </c>
      <c r="AO548" s="33" t="n">
        <f aca="false">G548*0.012380833</f>
        <v>0</v>
      </c>
      <c r="AP548" s="33" t="n">
        <f aca="false">G548*(1-0.012380833)</f>
        <v>0</v>
      </c>
      <c r="AQ548" s="35" t="s">
        <v>51</v>
      </c>
      <c r="AV548" s="33" t="n">
        <f aca="false">AW548+AX548</f>
        <v>0</v>
      </c>
      <c r="AW548" s="33" t="n">
        <f aca="false">F548*AO548</f>
        <v>0</v>
      </c>
      <c r="AX548" s="33" t="n">
        <f aca="false">F548*AP548</f>
        <v>0</v>
      </c>
      <c r="AY548" s="35" t="s">
        <v>917</v>
      </c>
      <c r="AZ548" s="35" t="s">
        <v>832</v>
      </c>
      <c r="BA548" s="18" t="s">
        <v>57</v>
      </c>
      <c r="BC548" s="33" t="n">
        <f aca="false">AW548+AX548</f>
        <v>0</v>
      </c>
      <c r="BD548" s="33" t="n">
        <f aca="false">G548/(100-BE548)*100</f>
        <v>0</v>
      </c>
      <c r="BE548" s="33" t="n">
        <v>0</v>
      </c>
      <c r="BF548" s="33" t="n">
        <f aca="false">556</f>
        <v>556</v>
      </c>
      <c r="BH548" s="33" t="n">
        <f aca="false">F548*AO548</f>
        <v>0</v>
      </c>
      <c r="BI548" s="33" t="n">
        <f aca="false">F548*AP548</f>
        <v>0</v>
      </c>
      <c r="BJ548" s="33" t="n">
        <f aca="false">F548*G548</f>
        <v>0</v>
      </c>
      <c r="BK548" s="33"/>
      <c r="BL548" s="33"/>
      <c r="BW548" s="33" t="n">
        <v>12</v>
      </c>
      <c r="BX548" s="9" t="s">
        <v>1046</v>
      </c>
    </row>
    <row r="549" customFormat="false" ht="15" hidden="false" customHeight="false" outlineLevel="0" collapsed="false">
      <c r="A549" s="36"/>
      <c r="C549" s="37" t="s">
        <v>51</v>
      </c>
      <c r="D549" s="37" t="s">
        <v>1047</v>
      </c>
      <c r="F549" s="38" t="n">
        <v>1</v>
      </c>
      <c r="K549" s="39"/>
    </row>
    <row r="550" customFormat="false" ht="15" hidden="false" customHeight="true" outlineLevel="0" collapsed="false">
      <c r="A550" s="27"/>
      <c r="B550" s="28" t="s">
        <v>1048</v>
      </c>
      <c r="C550" s="29" t="s">
        <v>1049</v>
      </c>
      <c r="D550" s="29"/>
      <c r="E550" s="30" t="s">
        <v>4</v>
      </c>
      <c r="F550" s="30" t="s">
        <v>4</v>
      </c>
      <c r="G550" s="30" t="s">
        <v>4</v>
      </c>
      <c r="H550" s="2" t="n">
        <f aca="false">SUM(H551:H553)</f>
        <v>0</v>
      </c>
      <c r="I550" s="2" t="n">
        <f aca="false">SUM(I551:I553)</f>
        <v>0</v>
      </c>
      <c r="J550" s="2" t="n">
        <f aca="false">SUM(J551:J553)</f>
        <v>0</v>
      </c>
      <c r="K550" s="31"/>
      <c r="AI550" s="18"/>
      <c r="AS550" s="2" t="n">
        <f aca="false">SUM(AJ551:AJ553)</f>
        <v>0</v>
      </c>
      <c r="AT550" s="2" t="n">
        <f aca="false">SUM(AK551:AK553)</f>
        <v>0</v>
      </c>
      <c r="AU550" s="2" t="n">
        <f aca="false">SUM(AL551:AL553)</f>
        <v>0</v>
      </c>
    </row>
    <row r="551" customFormat="false" ht="15" hidden="false" customHeight="true" outlineLevel="0" collapsed="false">
      <c r="A551" s="32" t="s">
        <v>1050</v>
      </c>
      <c r="B551" s="10" t="s">
        <v>1051</v>
      </c>
      <c r="C551" s="9" t="s">
        <v>1052</v>
      </c>
      <c r="D551" s="9"/>
      <c r="E551" s="10" t="s">
        <v>163</v>
      </c>
      <c r="F551" s="33" t="n">
        <v>1</v>
      </c>
      <c r="G551" s="33" t="n">
        <v>0</v>
      </c>
      <c r="H551" s="33" t="n">
        <f aca="false">F551*AO551</f>
        <v>0</v>
      </c>
      <c r="I551" s="33" t="n">
        <f aca="false">F551*AP551</f>
        <v>0</v>
      </c>
      <c r="J551" s="33" t="n">
        <f aca="false">F551*G551</f>
        <v>0</v>
      </c>
      <c r="K551" s="34" t="s">
        <v>303</v>
      </c>
      <c r="Z551" s="33" t="n">
        <f aca="false">IF(AQ551="5",BJ551,0)</f>
        <v>0</v>
      </c>
      <c r="AB551" s="33" t="n">
        <f aca="false">IF(AQ551="1",BH551,0)</f>
        <v>0</v>
      </c>
      <c r="AC551" s="33" t="n">
        <f aca="false">IF(AQ551="1",BI551,0)</f>
        <v>0</v>
      </c>
      <c r="AD551" s="33" t="n">
        <f aca="false">IF(AQ551="7",BH551,0)</f>
        <v>0</v>
      </c>
      <c r="AE551" s="33" t="n">
        <f aca="false">IF(AQ551="7",BI551,0)</f>
        <v>0</v>
      </c>
      <c r="AF551" s="33" t="n">
        <f aca="false">IF(AQ551="2",BH551,0)</f>
        <v>0</v>
      </c>
      <c r="AG551" s="33" t="n">
        <f aca="false">IF(AQ551="2",BI551,0)</f>
        <v>0</v>
      </c>
      <c r="AH551" s="33" t="n">
        <f aca="false">IF(AQ551="0",BJ551,0)</f>
        <v>0</v>
      </c>
      <c r="AI551" s="18"/>
      <c r="AJ551" s="33" t="n">
        <f aca="false">IF(AN551=0,J551,0)</f>
        <v>0</v>
      </c>
      <c r="AK551" s="33" t="n">
        <f aca="false">IF(AN551=12,J551,0)</f>
        <v>0</v>
      </c>
      <c r="AL551" s="33" t="n">
        <f aca="false">IF(AN551=21,J551,0)</f>
        <v>0</v>
      </c>
      <c r="AN551" s="33" t="n">
        <v>12</v>
      </c>
      <c r="AO551" s="33" t="n">
        <f aca="false">G551*0</f>
        <v>0</v>
      </c>
      <c r="AP551" s="33" t="n">
        <f aca="false">G551*(1-0)</f>
        <v>0</v>
      </c>
      <c r="AQ551" s="35" t="s">
        <v>58</v>
      </c>
      <c r="AV551" s="33" t="n">
        <f aca="false">AW551+AX551</f>
        <v>0</v>
      </c>
      <c r="AW551" s="33" t="n">
        <f aca="false">F551*AO551</f>
        <v>0</v>
      </c>
      <c r="AX551" s="33" t="n">
        <f aca="false">F551*AP551</f>
        <v>0</v>
      </c>
      <c r="AY551" s="35" t="s">
        <v>1053</v>
      </c>
      <c r="AZ551" s="35" t="s">
        <v>832</v>
      </c>
      <c r="BA551" s="18" t="s">
        <v>57</v>
      </c>
      <c r="BC551" s="33" t="n">
        <f aca="false">AW551+AX551</f>
        <v>0</v>
      </c>
      <c r="BD551" s="33" t="n">
        <f aca="false">G551/(100-BE551)*100</f>
        <v>0</v>
      </c>
      <c r="BE551" s="33" t="n">
        <v>0</v>
      </c>
      <c r="BF551" s="33" t="n">
        <f aca="false">559</f>
        <v>559</v>
      </c>
      <c r="BH551" s="33" t="n">
        <f aca="false">F551*AO551</f>
        <v>0</v>
      </c>
      <c r="BI551" s="33" t="n">
        <f aca="false">F551*AP551</f>
        <v>0</v>
      </c>
      <c r="BJ551" s="33" t="n">
        <f aca="false">F551*G551</f>
        <v>0</v>
      </c>
      <c r="BK551" s="33"/>
      <c r="BL551" s="33"/>
      <c r="BW551" s="33" t="n">
        <v>12</v>
      </c>
      <c r="BX551" s="9" t="s">
        <v>1052</v>
      </c>
    </row>
    <row r="552" customFormat="false" ht="15" hidden="false" customHeight="false" outlineLevel="0" collapsed="false">
      <c r="A552" s="36"/>
      <c r="C552" s="37" t="s">
        <v>51</v>
      </c>
      <c r="D552" s="37" t="s">
        <v>1054</v>
      </c>
      <c r="F552" s="38" t="n">
        <v>1</v>
      </c>
      <c r="K552" s="39"/>
    </row>
    <row r="553" customFormat="false" ht="15" hidden="false" customHeight="true" outlineLevel="0" collapsed="false">
      <c r="A553" s="32" t="s">
        <v>1055</v>
      </c>
      <c r="B553" s="10" t="s">
        <v>1056</v>
      </c>
      <c r="C553" s="9" t="s">
        <v>1057</v>
      </c>
      <c r="D553" s="9"/>
      <c r="E553" s="10" t="s">
        <v>163</v>
      </c>
      <c r="F553" s="33" t="n">
        <v>1</v>
      </c>
      <c r="G553" s="33" t="n">
        <v>0</v>
      </c>
      <c r="H553" s="33" t="n">
        <f aca="false">F553*AO553</f>
        <v>0</v>
      </c>
      <c r="I553" s="33" t="n">
        <f aca="false">F553*AP553</f>
        <v>0</v>
      </c>
      <c r="J553" s="33" t="n">
        <f aca="false">F553*G553</f>
        <v>0</v>
      </c>
      <c r="K553" s="34" t="s">
        <v>303</v>
      </c>
      <c r="Z553" s="33" t="n">
        <f aca="false">IF(AQ553="5",BJ553,0)</f>
        <v>0</v>
      </c>
      <c r="AB553" s="33" t="n">
        <f aca="false">IF(AQ553="1",BH553,0)</f>
        <v>0</v>
      </c>
      <c r="AC553" s="33" t="n">
        <f aca="false">IF(AQ553="1",BI553,0)</f>
        <v>0</v>
      </c>
      <c r="AD553" s="33" t="n">
        <f aca="false">IF(AQ553="7",BH553,0)</f>
        <v>0</v>
      </c>
      <c r="AE553" s="33" t="n">
        <f aca="false">IF(AQ553="7",BI553,0)</f>
        <v>0</v>
      </c>
      <c r="AF553" s="33" t="n">
        <f aca="false">IF(AQ553="2",BH553,0)</f>
        <v>0</v>
      </c>
      <c r="AG553" s="33" t="n">
        <f aca="false">IF(AQ553="2",BI553,0)</f>
        <v>0</v>
      </c>
      <c r="AH553" s="33" t="n">
        <f aca="false">IF(AQ553="0",BJ553,0)</f>
        <v>0</v>
      </c>
      <c r="AI553" s="18"/>
      <c r="AJ553" s="33" t="n">
        <f aca="false">IF(AN553=0,J553,0)</f>
        <v>0</v>
      </c>
      <c r="AK553" s="33" t="n">
        <f aca="false">IF(AN553=12,J553,0)</f>
        <v>0</v>
      </c>
      <c r="AL553" s="33" t="n">
        <f aca="false">IF(AN553=21,J553,0)</f>
        <v>0</v>
      </c>
      <c r="AN553" s="33" t="n">
        <v>12</v>
      </c>
      <c r="AO553" s="33" t="n">
        <f aca="false">G553*0</f>
        <v>0</v>
      </c>
      <c r="AP553" s="33" t="n">
        <f aca="false">G553*(1-0)</f>
        <v>0</v>
      </c>
      <c r="AQ553" s="35" t="s">
        <v>58</v>
      </c>
      <c r="AV553" s="33" t="n">
        <f aca="false">AW553+AX553</f>
        <v>0</v>
      </c>
      <c r="AW553" s="33" t="n">
        <f aca="false">F553*AO553</f>
        <v>0</v>
      </c>
      <c r="AX553" s="33" t="n">
        <f aca="false">F553*AP553</f>
        <v>0</v>
      </c>
      <c r="AY553" s="35" t="s">
        <v>1053</v>
      </c>
      <c r="AZ553" s="35" t="s">
        <v>832</v>
      </c>
      <c r="BA553" s="18" t="s">
        <v>57</v>
      </c>
      <c r="BC553" s="33" t="n">
        <f aca="false">AW553+AX553</f>
        <v>0</v>
      </c>
      <c r="BD553" s="33" t="n">
        <f aca="false">G553/(100-BE553)*100</f>
        <v>0</v>
      </c>
      <c r="BE553" s="33" t="n">
        <v>0</v>
      </c>
      <c r="BF553" s="33" t="n">
        <f aca="false">561</f>
        <v>561</v>
      </c>
      <c r="BH553" s="33" t="n">
        <f aca="false">F553*AO553</f>
        <v>0</v>
      </c>
      <c r="BI553" s="33" t="n">
        <f aca="false">F553*AP553</f>
        <v>0</v>
      </c>
      <c r="BJ553" s="33" t="n">
        <f aca="false">F553*G553</f>
        <v>0</v>
      </c>
      <c r="BK553" s="33"/>
      <c r="BL553" s="33"/>
      <c r="BW553" s="33" t="n">
        <v>12</v>
      </c>
      <c r="BX553" s="9" t="s">
        <v>1057</v>
      </c>
    </row>
    <row r="554" customFormat="false" ht="15" hidden="false" customHeight="false" outlineLevel="0" collapsed="false">
      <c r="A554" s="36"/>
      <c r="C554" s="37" t="s">
        <v>51</v>
      </c>
      <c r="D554" s="37"/>
      <c r="F554" s="38" t="n">
        <v>1</v>
      </c>
      <c r="K554" s="39"/>
    </row>
    <row r="555" customFormat="false" ht="15" hidden="false" customHeight="true" outlineLevel="0" collapsed="false">
      <c r="A555" s="27"/>
      <c r="B555" s="28" t="s">
        <v>1058</v>
      </c>
      <c r="C555" s="29" t="s">
        <v>1059</v>
      </c>
      <c r="D555" s="29"/>
      <c r="E555" s="30" t="s">
        <v>4</v>
      </c>
      <c r="F555" s="30" t="s">
        <v>4</v>
      </c>
      <c r="G555" s="30" t="s">
        <v>4</v>
      </c>
      <c r="H555" s="2" t="n">
        <f aca="false">SUM(H556:H566)</f>
        <v>0</v>
      </c>
      <c r="I555" s="2" t="n">
        <f aca="false">SUM(I556:I566)</f>
        <v>0</v>
      </c>
      <c r="J555" s="2" t="n">
        <f aca="false">SUM(J556:J566)</f>
        <v>0</v>
      </c>
      <c r="K555" s="31"/>
      <c r="AI555" s="18"/>
      <c r="AS555" s="2" t="n">
        <f aca="false">SUM(AJ556:AJ566)</f>
        <v>0</v>
      </c>
      <c r="AT555" s="2" t="n">
        <f aca="false">SUM(AK556:AK566)</f>
        <v>0</v>
      </c>
      <c r="AU555" s="2" t="n">
        <f aca="false">SUM(AL556:AL566)</f>
        <v>0</v>
      </c>
    </row>
    <row r="556" customFormat="false" ht="15" hidden="false" customHeight="true" outlineLevel="0" collapsed="false">
      <c r="A556" s="32" t="s">
        <v>1060</v>
      </c>
      <c r="B556" s="10" t="s">
        <v>1061</v>
      </c>
      <c r="C556" s="9" t="s">
        <v>1062</v>
      </c>
      <c r="D556" s="9"/>
      <c r="E556" s="10" t="s">
        <v>172</v>
      </c>
      <c r="F556" s="33" t="n">
        <v>26.948</v>
      </c>
      <c r="G556" s="33" t="n">
        <v>0</v>
      </c>
      <c r="H556" s="33" t="n">
        <f aca="false">F556*AO556</f>
        <v>0</v>
      </c>
      <c r="I556" s="33" t="n">
        <f aca="false">F556*AP556</f>
        <v>0</v>
      </c>
      <c r="J556" s="33" t="n">
        <f aca="false">F556*G556</f>
        <v>0</v>
      </c>
      <c r="K556" s="34" t="s">
        <v>84</v>
      </c>
      <c r="Z556" s="33" t="n">
        <f aca="false">IF(AQ556="5",BJ556,0)</f>
        <v>0</v>
      </c>
      <c r="AB556" s="33" t="n">
        <f aca="false">IF(AQ556="1",BH556,0)</f>
        <v>0</v>
      </c>
      <c r="AC556" s="33" t="n">
        <f aca="false">IF(AQ556="1",BI556,0)</f>
        <v>0</v>
      </c>
      <c r="AD556" s="33" t="n">
        <f aca="false">IF(AQ556="7",BH556,0)</f>
        <v>0</v>
      </c>
      <c r="AE556" s="33" t="n">
        <f aca="false">IF(AQ556="7",BI556,0)</f>
        <v>0</v>
      </c>
      <c r="AF556" s="33" t="n">
        <f aca="false">IF(AQ556="2",BH556,0)</f>
        <v>0</v>
      </c>
      <c r="AG556" s="33" t="n">
        <f aca="false">IF(AQ556="2",BI556,0)</f>
        <v>0</v>
      </c>
      <c r="AH556" s="33" t="n">
        <f aca="false">IF(AQ556="0",BJ556,0)</f>
        <v>0</v>
      </c>
      <c r="AI556" s="18"/>
      <c r="AJ556" s="33" t="n">
        <f aca="false">IF(AN556=0,J556,0)</f>
        <v>0</v>
      </c>
      <c r="AK556" s="33" t="n">
        <f aca="false">IF(AN556=12,J556,0)</f>
        <v>0</v>
      </c>
      <c r="AL556" s="33" t="n">
        <f aca="false">IF(AN556=21,J556,0)</f>
        <v>0</v>
      </c>
      <c r="AN556" s="33" t="n">
        <v>12</v>
      </c>
      <c r="AO556" s="33" t="n">
        <f aca="false">G556*0</f>
        <v>0</v>
      </c>
      <c r="AP556" s="33" t="n">
        <f aca="false">G556*(1-0)</f>
        <v>0</v>
      </c>
      <c r="AQ556" s="35" t="s">
        <v>68</v>
      </c>
      <c r="AV556" s="33" t="n">
        <f aca="false">AW556+AX556</f>
        <v>0</v>
      </c>
      <c r="AW556" s="33" t="n">
        <f aca="false">F556*AO556</f>
        <v>0</v>
      </c>
      <c r="AX556" s="33" t="n">
        <f aca="false">F556*AP556</f>
        <v>0</v>
      </c>
      <c r="AY556" s="35" t="s">
        <v>1063</v>
      </c>
      <c r="AZ556" s="35" t="s">
        <v>832</v>
      </c>
      <c r="BA556" s="18" t="s">
        <v>57</v>
      </c>
      <c r="BC556" s="33" t="n">
        <f aca="false">AW556+AX556</f>
        <v>0</v>
      </c>
      <c r="BD556" s="33" t="n">
        <f aca="false">G556/(100-BE556)*100</f>
        <v>0</v>
      </c>
      <c r="BE556" s="33" t="n">
        <v>0</v>
      </c>
      <c r="BF556" s="33" t="n">
        <f aca="false">564</f>
        <v>564</v>
      </c>
      <c r="BH556" s="33" t="n">
        <f aca="false">F556*AO556</f>
        <v>0</v>
      </c>
      <c r="BI556" s="33" t="n">
        <f aca="false">F556*AP556</f>
        <v>0</v>
      </c>
      <c r="BJ556" s="33" t="n">
        <f aca="false">F556*G556</f>
        <v>0</v>
      </c>
      <c r="BK556" s="33"/>
      <c r="BL556" s="33"/>
      <c r="BW556" s="33" t="n">
        <v>12</v>
      </c>
      <c r="BX556" s="9" t="s">
        <v>1062</v>
      </c>
    </row>
    <row r="557" customFormat="false" ht="15" hidden="false" customHeight="false" outlineLevel="0" collapsed="false">
      <c r="A557" s="36"/>
      <c r="C557" s="37" t="s">
        <v>1064</v>
      </c>
      <c r="D557" s="37"/>
      <c r="F557" s="38" t="n">
        <v>26.948</v>
      </c>
      <c r="K557" s="39"/>
    </row>
    <row r="558" customFormat="false" ht="15" hidden="false" customHeight="true" outlineLevel="0" collapsed="false">
      <c r="A558" s="32" t="s">
        <v>1065</v>
      </c>
      <c r="B558" s="10" t="s">
        <v>1066</v>
      </c>
      <c r="C558" s="9" t="s">
        <v>1067</v>
      </c>
      <c r="D558" s="9"/>
      <c r="E558" s="10" t="s">
        <v>172</v>
      </c>
      <c r="F558" s="33" t="n">
        <v>269.48</v>
      </c>
      <c r="G558" s="33" t="n">
        <v>0</v>
      </c>
      <c r="H558" s="33" t="n">
        <f aca="false">F558*AO558</f>
        <v>0</v>
      </c>
      <c r="I558" s="33" t="n">
        <f aca="false">F558*AP558</f>
        <v>0</v>
      </c>
      <c r="J558" s="33" t="n">
        <f aca="false">F558*G558</f>
        <v>0</v>
      </c>
      <c r="K558" s="34" t="s">
        <v>84</v>
      </c>
      <c r="Z558" s="33" t="n">
        <f aca="false">IF(AQ558="5",BJ558,0)</f>
        <v>0</v>
      </c>
      <c r="AB558" s="33" t="n">
        <f aca="false">IF(AQ558="1",BH558,0)</f>
        <v>0</v>
      </c>
      <c r="AC558" s="33" t="n">
        <f aca="false">IF(AQ558="1",BI558,0)</f>
        <v>0</v>
      </c>
      <c r="AD558" s="33" t="n">
        <f aca="false">IF(AQ558="7",BH558,0)</f>
        <v>0</v>
      </c>
      <c r="AE558" s="33" t="n">
        <f aca="false">IF(AQ558="7",BI558,0)</f>
        <v>0</v>
      </c>
      <c r="AF558" s="33" t="n">
        <f aca="false">IF(AQ558="2",BH558,0)</f>
        <v>0</v>
      </c>
      <c r="AG558" s="33" t="n">
        <f aca="false">IF(AQ558="2",BI558,0)</f>
        <v>0</v>
      </c>
      <c r="AH558" s="33" t="n">
        <f aca="false">IF(AQ558="0",BJ558,0)</f>
        <v>0</v>
      </c>
      <c r="AI558" s="18"/>
      <c r="AJ558" s="33" t="n">
        <f aca="false">IF(AN558=0,J558,0)</f>
        <v>0</v>
      </c>
      <c r="AK558" s="33" t="n">
        <f aca="false">IF(AN558=12,J558,0)</f>
        <v>0</v>
      </c>
      <c r="AL558" s="33" t="n">
        <f aca="false">IF(AN558=21,J558,0)</f>
        <v>0</v>
      </c>
      <c r="AN558" s="33" t="n">
        <v>12</v>
      </c>
      <c r="AO558" s="33" t="n">
        <f aca="false">G558*0</f>
        <v>0</v>
      </c>
      <c r="AP558" s="33" t="n">
        <f aca="false">G558*(1-0)</f>
        <v>0</v>
      </c>
      <c r="AQ558" s="35" t="s">
        <v>68</v>
      </c>
      <c r="AV558" s="33" t="n">
        <f aca="false">AW558+AX558</f>
        <v>0</v>
      </c>
      <c r="AW558" s="33" t="n">
        <f aca="false">F558*AO558</f>
        <v>0</v>
      </c>
      <c r="AX558" s="33" t="n">
        <f aca="false">F558*AP558</f>
        <v>0</v>
      </c>
      <c r="AY558" s="35" t="s">
        <v>1063</v>
      </c>
      <c r="AZ558" s="35" t="s">
        <v>832</v>
      </c>
      <c r="BA558" s="18" t="s">
        <v>57</v>
      </c>
      <c r="BC558" s="33" t="n">
        <f aca="false">AW558+AX558</f>
        <v>0</v>
      </c>
      <c r="BD558" s="33" t="n">
        <f aca="false">G558/(100-BE558)*100</f>
        <v>0</v>
      </c>
      <c r="BE558" s="33" t="n">
        <v>0</v>
      </c>
      <c r="BF558" s="33" t="n">
        <f aca="false">566</f>
        <v>566</v>
      </c>
      <c r="BH558" s="33" t="n">
        <f aca="false">F558*AO558</f>
        <v>0</v>
      </c>
      <c r="BI558" s="33" t="n">
        <f aca="false">F558*AP558</f>
        <v>0</v>
      </c>
      <c r="BJ558" s="33" t="n">
        <f aca="false">F558*G558</f>
        <v>0</v>
      </c>
      <c r="BK558" s="33"/>
      <c r="BL558" s="33"/>
      <c r="BW558" s="33" t="n">
        <v>12</v>
      </c>
      <c r="BX558" s="9" t="s">
        <v>1067</v>
      </c>
    </row>
    <row r="559" customFormat="false" ht="15" hidden="false" customHeight="false" outlineLevel="0" collapsed="false">
      <c r="A559" s="36"/>
      <c r="C559" s="37" t="s">
        <v>1068</v>
      </c>
      <c r="D559" s="37"/>
      <c r="F559" s="38" t="n">
        <v>269.48</v>
      </c>
      <c r="K559" s="39"/>
    </row>
    <row r="560" customFormat="false" ht="15" hidden="false" customHeight="true" outlineLevel="0" collapsed="false">
      <c r="A560" s="32" t="s">
        <v>1069</v>
      </c>
      <c r="B560" s="10" t="s">
        <v>1070</v>
      </c>
      <c r="C560" s="9" t="s">
        <v>1071</v>
      </c>
      <c r="D560" s="9"/>
      <c r="E560" s="10" t="s">
        <v>172</v>
      </c>
      <c r="F560" s="33" t="n">
        <v>26.948</v>
      </c>
      <c r="G560" s="33" t="n">
        <v>0</v>
      </c>
      <c r="H560" s="33" t="n">
        <f aca="false">F560*AO560</f>
        <v>0</v>
      </c>
      <c r="I560" s="33" t="n">
        <f aca="false">F560*AP560</f>
        <v>0</v>
      </c>
      <c r="J560" s="33" t="n">
        <f aca="false">F560*G560</f>
        <v>0</v>
      </c>
      <c r="K560" s="34" t="s">
        <v>84</v>
      </c>
      <c r="Z560" s="33" t="n">
        <f aca="false">IF(AQ560="5",BJ560,0)</f>
        <v>0</v>
      </c>
      <c r="AB560" s="33" t="n">
        <f aca="false">IF(AQ560="1",BH560,0)</f>
        <v>0</v>
      </c>
      <c r="AC560" s="33" t="n">
        <f aca="false">IF(AQ560="1",BI560,0)</f>
        <v>0</v>
      </c>
      <c r="AD560" s="33" t="n">
        <f aca="false">IF(AQ560="7",BH560,0)</f>
        <v>0</v>
      </c>
      <c r="AE560" s="33" t="n">
        <f aca="false">IF(AQ560="7",BI560,0)</f>
        <v>0</v>
      </c>
      <c r="AF560" s="33" t="n">
        <f aca="false">IF(AQ560="2",BH560,0)</f>
        <v>0</v>
      </c>
      <c r="AG560" s="33" t="n">
        <f aca="false">IF(AQ560="2",BI560,0)</f>
        <v>0</v>
      </c>
      <c r="AH560" s="33" t="n">
        <f aca="false">IF(AQ560="0",BJ560,0)</f>
        <v>0</v>
      </c>
      <c r="AI560" s="18"/>
      <c r="AJ560" s="33" t="n">
        <f aca="false">IF(AN560=0,J560,0)</f>
        <v>0</v>
      </c>
      <c r="AK560" s="33" t="n">
        <f aca="false">IF(AN560=12,J560,0)</f>
        <v>0</v>
      </c>
      <c r="AL560" s="33" t="n">
        <f aca="false">IF(AN560=21,J560,0)</f>
        <v>0</v>
      </c>
      <c r="AN560" s="33" t="n">
        <v>12</v>
      </c>
      <c r="AO560" s="33" t="n">
        <f aca="false">G560*0</f>
        <v>0</v>
      </c>
      <c r="AP560" s="33" t="n">
        <f aca="false">G560*(1-0)</f>
        <v>0</v>
      </c>
      <c r="AQ560" s="35" t="s">
        <v>68</v>
      </c>
      <c r="AV560" s="33" t="n">
        <f aca="false">AW560+AX560</f>
        <v>0</v>
      </c>
      <c r="AW560" s="33" t="n">
        <f aca="false">F560*AO560</f>
        <v>0</v>
      </c>
      <c r="AX560" s="33" t="n">
        <f aca="false">F560*AP560</f>
        <v>0</v>
      </c>
      <c r="AY560" s="35" t="s">
        <v>1063</v>
      </c>
      <c r="AZ560" s="35" t="s">
        <v>832</v>
      </c>
      <c r="BA560" s="18" t="s">
        <v>57</v>
      </c>
      <c r="BC560" s="33" t="n">
        <f aca="false">AW560+AX560</f>
        <v>0</v>
      </c>
      <c r="BD560" s="33" t="n">
        <f aca="false">G560/(100-BE560)*100</f>
        <v>0</v>
      </c>
      <c r="BE560" s="33" t="n">
        <v>0</v>
      </c>
      <c r="BF560" s="33" t="n">
        <f aca="false">568</f>
        <v>568</v>
      </c>
      <c r="BH560" s="33" t="n">
        <f aca="false">F560*AO560</f>
        <v>0</v>
      </c>
      <c r="BI560" s="33" t="n">
        <f aca="false">F560*AP560</f>
        <v>0</v>
      </c>
      <c r="BJ560" s="33" t="n">
        <f aca="false">F560*G560</f>
        <v>0</v>
      </c>
      <c r="BK560" s="33"/>
      <c r="BL560" s="33"/>
      <c r="BW560" s="33" t="n">
        <v>12</v>
      </c>
      <c r="BX560" s="9" t="s">
        <v>1071</v>
      </c>
    </row>
    <row r="561" customFormat="false" ht="15" hidden="false" customHeight="false" outlineLevel="0" collapsed="false">
      <c r="A561" s="36"/>
      <c r="C561" s="37" t="s">
        <v>1064</v>
      </c>
      <c r="D561" s="37"/>
      <c r="F561" s="38" t="n">
        <v>26.948</v>
      </c>
      <c r="K561" s="39"/>
    </row>
    <row r="562" customFormat="false" ht="15" hidden="false" customHeight="true" outlineLevel="0" collapsed="false">
      <c r="A562" s="32" t="s">
        <v>1072</v>
      </c>
      <c r="B562" s="10" t="s">
        <v>1073</v>
      </c>
      <c r="C562" s="9" t="s">
        <v>1074</v>
      </c>
      <c r="D562" s="9"/>
      <c r="E562" s="10" t="s">
        <v>172</v>
      </c>
      <c r="F562" s="33" t="n">
        <v>26.3948</v>
      </c>
      <c r="G562" s="33" t="n">
        <v>0</v>
      </c>
      <c r="H562" s="33" t="n">
        <f aca="false">F562*AO562</f>
        <v>0</v>
      </c>
      <c r="I562" s="33" t="n">
        <f aca="false">F562*AP562</f>
        <v>0</v>
      </c>
      <c r="J562" s="33" t="n">
        <f aca="false">F562*G562</f>
        <v>0</v>
      </c>
      <c r="K562" s="34" t="s">
        <v>84</v>
      </c>
      <c r="Z562" s="33" t="n">
        <f aca="false">IF(AQ562="5",BJ562,0)</f>
        <v>0</v>
      </c>
      <c r="AB562" s="33" t="n">
        <f aca="false">IF(AQ562="1",BH562,0)</f>
        <v>0</v>
      </c>
      <c r="AC562" s="33" t="n">
        <f aca="false">IF(AQ562="1",BI562,0)</f>
        <v>0</v>
      </c>
      <c r="AD562" s="33" t="n">
        <f aca="false">IF(AQ562="7",BH562,0)</f>
        <v>0</v>
      </c>
      <c r="AE562" s="33" t="n">
        <f aca="false">IF(AQ562="7",BI562,0)</f>
        <v>0</v>
      </c>
      <c r="AF562" s="33" t="n">
        <f aca="false">IF(AQ562="2",BH562,0)</f>
        <v>0</v>
      </c>
      <c r="AG562" s="33" t="n">
        <f aca="false">IF(AQ562="2",BI562,0)</f>
        <v>0</v>
      </c>
      <c r="AH562" s="33" t="n">
        <f aca="false">IF(AQ562="0",BJ562,0)</f>
        <v>0</v>
      </c>
      <c r="AI562" s="18"/>
      <c r="AJ562" s="33" t="n">
        <f aca="false">IF(AN562=0,J562,0)</f>
        <v>0</v>
      </c>
      <c r="AK562" s="33" t="n">
        <f aca="false">IF(AN562=12,J562,0)</f>
        <v>0</v>
      </c>
      <c r="AL562" s="33" t="n">
        <f aca="false">IF(AN562=21,J562,0)</f>
        <v>0</v>
      </c>
      <c r="AN562" s="33" t="n">
        <v>12</v>
      </c>
      <c r="AO562" s="33" t="n">
        <f aca="false">G562*0</f>
        <v>0</v>
      </c>
      <c r="AP562" s="33" t="n">
        <f aca="false">G562*(1-0)</f>
        <v>0</v>
      </c>
      <c r="AQ562" s="35" t="s">
        <v>68</v>
      </c>
      <c r="AV562" s="33" t="n">
        <f aca="false">AW562+AX562</f>
        <v>0</v>
      </c>
      <c r="AW562" s="33" t="n">
        <f aca="false">F562*AO562</f>
        <v>0</v>
      </c>
      <c r="AX562" s="33" t="n">
        <f aca="false">F562*AP562</f>
        <v>0</v>
      </c>
      <c r="AY562" s="35" t="s">
        <v>1063</v>
      </c>
      <c r="AZ562" s="35" t="s">
        <v>832</v>
      </c>
      <c r="BA562" s="18" t="s">
        <v>57</v>
      </c>
      <c r="BC562" s="33" t="n">
        <f aca="false">AW562+AX562</f>
        <v>0</v>
      </c>
      <c r="BD562" s="33" t="n">
        <f aca="false">G562/(100-BE562)*100</f>
        <v>0</v>
      </c>
      <c r="BE562" s="33" t="n">
        <v>0</v>
      </c>
      <c r="BF562" s="33" t="n">
        <f aca="false">570</f>
        <v>570</v>
      </c>
      <c r="BH562" s="33" t="n">
        <f aca="false">F562*AO562</f>
        <v>0</v>
      </c>
      <c r="BI562" s="33" t="n">
        <f aca="false">F562*AP562</f>
        <v>0</v>
      </c>
      <c r="BJ562" s="33" t="n">
        <f aca="false">F562*G562</f>
        <v>0</v>
      </c>
      <c r="BK562" s="33"/>
      <c r="BL562" s="33"/>
      <c r="BW562" s="33" t="n">
        <v>12</v>
      </c>
      <c r="BX562" s="9" t="s">
        <v>1074</v>
      </c>
    </row>
    <row r="563" customFormat="false" ht="15" hidden="false" customHeight="false" outlineLevel="0" collapsed="false">
      <c r="A563" s="36"/>
      <c r="C563" s="37" t="s">
        <v>1075</v>
      </c>
      <c r="D563" s="37" t="s">
        <v>1076</v>
      </c>
      <c r="F563" s="38" t="n">
        <v>26.3948</v>
      </c>
      <c r="K563" s="39"/>
    </row>
    <row r="564" customFormat="false" ht="15" hidden="false" customHeight="true" outlineLevel="0" collapsed="false">
      <c r="A564" s="32" t="s">
        <v>1077</v>
      </c>
      <c r="B564" s="10" t="s">
        <v>1078</v>
      </c>
      <c r="C564" s="9" t="s">
        <v>1079</v>
      </c>
      <c r="D564" s="9"/>
      <c r="E564" s="10" t="s">
        <v>172</v>
      </c>
      <c r="F564" s="33" t="n">
        <v>26.948</v>
      </c>
      <c r="G564" s="33" t="n">
        <v>0</v>
      </c>
      <c r="H564" s="33" t="n">
        <f aca="false">F564*AO564</f>
        <v>0</v>
      </c>
      <c r="I564" s="33" t="n">
        <f aca="false">F564*AP564</f>
        <v>0</v>
      </c>
      <c r="J564" s="33" t="n">
        <f aca="false">F564*G564</f>
        <v>0</v>
      </c>
      <c r="K564" s="34" t="s">
        <v>84</v>
      </c>
      <c r="Z564" s="33" t="n">
        <f aca="false">IF(AQ564="5",BJ564,0)</f>
        <v>0</v>
      </c>
      <c r="AB564" s="33" t="n">
        <f aca="false">IF(AQ564="1",BH564,0)</f>
        <v>0</v>
      </c>
      <c r="AC564" s="33" t="n">
        <f aca="false">IF(AQ564="1",BI564,0)</f>
        <v>0</v>
      </c>
      <c r="AD564" s="33" t="n">
        <f aca="false">IF(AQ564="7",BH564,0)</f>
        <v>0</v>
      </c>
      <c r="AE564" s="33" t="n">
        <f aca="false">IF(AQ564="7",BI564,0)</f>
        <v>0</v>
      </c>
      <c r="AF564" s="33" t="n">
        <f aca="false">IF(AQ564="2",BH564,0)</f>
        <v>0</v>
      </c>
      <c r="AG564" s="33" t="n">
        <f aca="false">IF(AQ564="2",BI564,0)</f>
        <v>0</v>
      </c>
      <c r="AH564" s="33" t="n">
        <f aca="false">IF(AQ564="0",BJ564,0)</f>
        <v>0</v>
      </c>
      <c r="AI564" s="18"/>
      <c r="AJ564" s="33" t="n">
        <f aca="false">IF(AN564=0,J564,0)</f>
        <v>0</v>
      </c>
      <c r="AK564" s="33" t="n">
        <f aca="false">IF(AN564=12,J564,0)</f>
        <v>0</v>
      </c>
      <c r="AL564" s="33" t="n">
        <f aca="false">IF(AN564=21,J564,0)</f>
        <v>0</v>
      </c>
      <c r="AN564" s="33" t="n">
        <v>12</v>
      </c>
      <c r="AO564" s="33" t="n">
        <f aca="false">G564*0</f>
        <v>0</v>
      </c>
      <c r="AP564" s="33" t="n">
        <f aca="false">G564*(1-0)</f>
        <v>0</v>
      </c>
      <c r="AQ564" s="35" t="s">
        <v>68</v>
      </c>
      <c r="AV564" s="33" t="n">
        <f aca="false">AW564+AX564</f>
        <v>0</v>
      </c>
      <c r="AW564" s="33" t="n">
        <f aca="false">F564*AO564</f>
        <v>0</v>
      </c>
      <c r="AX564" s="33" t="n">
        <f aca="false">F564*AP564</f>
        <v>0</v>
      </c>
      <c r="AY564" s="35" t="s">
        <v>1063</v>
      </c>
      <c r="AZ564" s="35" t="s">
        <v>832</v>
      </c>
      <c r="BA564" s="18" t="s">
        <v>57</v>
      </c>
      <c r="BC564" s="33" t="n">
        <f aca="false">AW564+AX564</f>
        <v>0</v>
      </c>
      <c r="BD564" s="33" t="n">
        <f aca="false">G564/(100-BE564)*100</f>
        <v>0</v>
      </c>
      <c r="BE564" s="33" t="n">
        <v>0</v>
      </c>
      <c r="BF564" s="33" t="n">
        <f aca="false">572</f>
        <v>572</v>
      </c>
      <c r="BH564" s="33" t="n">
        <f aca="false">F564*AO564</f>
        <v>0</v>
      </c>
      <c r="BI564" s="33" t="n">
        <f aca="false">F564*AP564</f>
        <v>0</v>
      </c>
      <c r="BJ564" s="33" t="n">
        <f aca="false">F564*G564</f>
        <v>0</v>
      </c>
      <c r="BK564" s="33"/>
      <c r="BL564" s="33"/>
      <c r="BW564" s="33" t="n">
        <v>12</v>
      </c>
      <c r="BX564" s="9" t="s">
        <v>1079</v>
      </c>
    </row>
    <row r="565" customFormat="false" ht="15" hidden="false" customHeight="false" outlineLevel="0" collapsed="false">
      <c r="A565" s="36"/>
      <c r="C565" s="37" t="s">
        <v>1064</v>
      </c>
      <c r="D565" s="37"/>
      <c r="F565" s="38" t="n">
        <v>26.948</v>
      </c>
      <c r="K565" s="39"/>
    </row>
    <row r="566" customFormat="false" ht="15" hidden="false" customHeight="true" outlineLevel="0" collapsed="false">
      <c r="A566" s="32" t="s">
        <v>1080</v>
      </c>
      <c r="B566" s="10" t="s">
        <v>1081</v>
      </c>
      <c r="C566" s="9" t="s">
        <v>1082</v>
      </c>
      <c r="D566" s="9"/>
      <c r="E566" s="10" t="s">
        <v>172</v>
      </c>
      <c r="F566" s="33" t="n">
        <v>26.948</v>
      </c>
      <c r="G566" s="33" t="n">
        <v>0</v>
      </c>
      <c r="H566" s="33" t="n">
        <f aca="false">F566*AO566</f>
        <v>0</v>
      </c>
      <c r="I566" s="33" t="n">
        <f aca="false">F566*AP566</f>
        <v>0</v>
      </c>
      <c r="J566" s="33" t="n">
        <f aca="false">F566*G566</f>
        <v>0</v>
      </c>
      <c r="K566" s="34" t="s">
        <v>84</v>
      </c>
      <c r="Z566" s="33" t="n">
        <f aca="false">IF(AQ566="5",BJ566,0)</f>
        <v>0</v>
      </c>
      <c r="AB566" s="33" t="n">
        <f aca="false">IF(AQ566="1",BH566,0)</f>
        <v>0</v>
      </c>
      <c r="AC566" s="33" t="n">
        <f aca="false">IF(AQ566="1",BI566,0)</f>
        <v>0</v>
      </c>
      <c r="AD566" s="33" t="n">
        <f aca="false">IF(AQ566="7",BH566,0)</f>
        <v>0</v>
      </c>
      <c r="AE566" s="33" t="n">
        <f aca="false">IF(AQ566="7",BI566,0)</f>
        <v>0</v>
      </c>
      <c r="AF566" s="33" t="n">
        <f aca="false">IF(AQ566="2",BH566,0)</f>
        <v>0</v>
      </c>
      <c r="AG566" s="33" t="n">
        <f aca="false">IF(AQ566="2",BI566,0)</f>
        <v>0</v>
      </c>
      <c r="AH566" s="33" t="n">
        <f aca="false">IF(AQ566="0",BJ566,0)</f>
        <v>0</v>
      </c>
      <c r="AI566" s="18"/>
      <c r="AJ566" s="33" t="n">
        <f aca="false">IF(AN566=0,J566,0)</f>
        <v>0</v>
      </c>
      <c r="AK566" s="33" t="n">
        <f aca="false">IF(AN566=12,J566,0)</f>
        <v>0</v>
      </c>
      <c r="AL566" s="33" t="n">
        <f aca="false">IF(AN566=21,J566,0)</f>
        <v>0</v>
      </c>
      <c r="AN566" s="33" t="n">
        <v>12</v>
      </c>
      <c r="AO566" s="33" t="n">
        <f aca="false">G566*0</f>
        <v>0</v>
      </c>
      <c r="AP566" s="33" t="n">
        <f aca="false">G566*(1-0)</f>
        <v>0</v>
      </c>
      <c r="AQ566" s="35" t="s">
        <v>68</v>
      </c>
      <c r="AV566" s="33" t="n">
        <f aca="false">AW566+AX566</f>
        <v>0</v>
      </c>
      <c r="AW566" s="33" t="n">
        <f aca="false">F566*AO566</f>
        <v>0</v>
      </c>
      <c r="AX566" s="33" t="n">
        <f aca="false">F566*AP566</f>
        <v>0</v>
      </c>
      <c r="AY566" s="35" t="s">
        <v>1063</v>
      </c>
      <c r="AZ566" s="35" t="s">
        <v>832</v>
      </c>
      <c r="BA566" s="18" t="s">
        <v>57</v>
      </c>
      <c r="BC566" s="33" t="n">
        <f aca="false">AW566+AX566</f>
        <v>0</v>
      </c>
      <c r="BD566" s="33" t="n">
        <f aca="false">G566/(100-BE566)*100</f>
        <v>0</v>
      </c>
      <c r="BE566" s="33" t="n">
        <v>0</v>
      </c>
      <c r="BF566" s="33" t="n">
        <f aca="false">574</f>
        <v>574</v>
      </c>
      <c r="BH566" s="33" t="n">
        <f aca="false">F566*AO566</f>
        <v>0</v>
      </c>
      <c r="BI566" s="33" t="n">
        <f aca="false">F566*AP566</f>
        <v>0</v>
      </c>
      <c r="BJ566" s="33" t="n">
        <f aca="false">F566*G566</f>
        <v>0</v>
      </c>
      <c r="BK566" s="33"/>
      <c r="BL566" s="33"/>
      <c r="BW566" s="33" t="n">
        <v>12</v>
      </c>
      <c r="BX566" s="9" t="s">
        <v>1082</v>
      </c>
    </row>
    <row r="567" customFormat="false" ht="15" hidden="false" customHeight="false" outlineLevel="0" collapsed="false">
      <c r="A567" s="41"/>
      <c r="B567" s="42"/>
      <c r="C567" s="43" t="s">
        <v>1064</v>
      </c>
      <c r="D567" s="43"/>
      <c r="E567" s="42"/>
      <c r="F567" s="44" t="n">
        <v>26.948</v>
      </c>
      <c r="G567" s="42"/>
      <c r="H567" s="42"/>
      <c r="I567" s="42"/>
      <c r="J567" s="42"/>
      <c r="K567" s="45"/>
    </row>
    <row r="568" customFormat="false" ht="15" hidden="false" customHeight="false" outlineLevel="0" collapsed="false">
      <c r="H568" s="46" t="s">
        <v>1083</v>
      </c>
      <c r="I568" s="46"/>
      <c r="J568" s="47" t="n">
        <f aca="false">J12+J27+J32+J35+J40+J43+J46+J50+J54+J69+J72+J149+J156+J161+J170+J178+J205+J223+J232+J279+J296+J350+J388+J408+J417+J420+J423+J441+J452+J459+J462+J550+J555</f>
        <v>0</v>
      </c>
    </row>
    <row r="569" customFormat="false" ht="15" hidden="false" customHeight="false" outlineLevel="0" collapsed="false">
      <c r="A569" s="48" t="s">
        <v>1084</v>
      </c>
    </row>
    <row r="570" customFormat="false" ht="12.75" hidden="false" customHeight="true" outlineLevel="0" collapsed="false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</row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293">
    <mergeCell ref="A1:K1"/>
    <mergeCell ref="A2:B3"/>
    <mergeCell ref="C2:D3"/>
    <mergeCell ref="E2:F3"/>
    <mergeCell ref="G2:G3"/>
    <mergeCell ref="H2:H3"/>
    <mergeCell ref="I2:K3"/>
    <mergeCell ref="A4:B5"/>
    <mergeCell ref="C4:D5"/>
    <mergeCell ref="E4:F5"/>
    <mergeCell ref="G4:G5"/>
    <mergeCell ref="H4:H5"/>
    <mergeCell ref="I4:K5"/>
    <mergeCell ref="A6:B7"/>
    <mergeCell ref="C6:D7"/>
    <mergeCell ref="E6:F7"/>
    <mergeCell ref="G6:G7"/>
    <mergeCell ref="H6:H7"/>
    <mergeCell ref="I6:K7"/>
    <mergeCell ref="A8:B9"/>
    <mergeCell ref="C8:D9"/>
    <mergeCell ref="E8:F9"/>
    <mergeCell ref="G8:G9"/>
    <mergeCell ref="H8:H9"/>
    <mergeCell ref="I8:K9"/>
    <mergeCell ref="C10:D10"/>
    <mergeCell ref="H10:J10"/>
    <mergeCell ref="C11:D11"/>
    <mergeCell ref="C12:D12"/>
    <mergeCell ref="C13:D13"/>
    <mergeCell ref="C15:D15"/>
    <mergeCell ref="C17:D17"/>
    <mergeCell ref="C19:D19"/>
    <mergeCell ref="C21:D21"/>
    <mergeCell ref="C23:D23"/>
    <mergeCell ref="C27:D27"/>
    <mergeCell ref="C28:D28"/>
    <mergeCell ref="C30:D30"/>
    <mergeCell ref="C32:D32"/>
    <mergeCell ref="C33:D33"/>
    <mergeCell ref="C35:D35"/>
    <mergeCell ref="C36:D36"/>
    <mergeCell ref="C38:D38"/>
    <mergeCell ref="C40:D40"/>
    <mergeCell ref="C41:D41"/>
    <mergeCell ref="C43:D43"/>
    <mergeCell ref="C44:D44"/>
    <mergeCell ref="C46:D46"/>
    <mergeCell ref="C47:D47"/>
    <mergeCell ref="C50:D50"/>
    <mergeCell ref="C51:D51"/>
    <mergeCell ref="C54:D54"/>
    <mergeCell ref="C55:D55"/>
    <mergeCell ref="C57:D57"/>
    <mergeCell ref="C60:D60"/>
    <mergeCell ref="C63:D63"/>
    <mergeCell ref="C65:D65"/>
    <mergeCell ref="C67:D67"/>
    <mergeCell ref="C69:D69"/>
    <mergeCell ref="C70:D70"/>
    <mergeCell ref="C72:D72"/>
    <mergeCell ref="C73:D73"/>
    <mergeCell ref="C75:D75"/>
    <mergeCell ref="C77:D77"/>
    <mergeCell ref="C82:D82"/>
    <mergeCell ref="C84:D84"/>
    <mergeCell ref="C91:D91"/>
    <mergeCell ref="C93:D93"/>
    <mergeCell ref="C95:D95"/>
    <mergeCell ref="C97:D97"/>
    <mergeCell ref="C99:D99"/>
    <mergeCell ref="C104:D104"/>
    <mergeCell ref="C107:D107"/>
    <mergeCell ref="C111:D111"/>
    <mergeCell ref="C113:D113"/>
    <mergeCell ref="C117:D117"/>
    <mergeCell ref="C130:D130"/>
    <mergeCell ref="C134:D134"/>
    <mergeCell ref="C137:D137"/>
    <mergeCell ref="C139:D139"/>
    <mergeCell ref="C141:D141"/>
    <mergeCell ref="C143:D143"/>
    <mergeCell ref="C145:D145"/>
    <mergeCell ref="C147:D147"/>
    <mergeCell ref="C149:D149"/>
    <mergeCell ref="C150:D150"/>
    <mergeCell ref="C152:D152"/>
    <mergeCell ref="C154:D154"/>
    <mergeCell ref="C156:D156"/>
    <mergeCell ref="C157:D157"/>
    <mergeCell ref="C159:D159"/>
    <mergeCell ref="C161:D161"/>
    <mergeCell ref="C162:D162"/>
    <mergeCell ref="C164:D164"/>
    <mergeCell ref="C166:D166"/>
    <mergeCell ref="C168:D168"/>
    <mergeCell ref="C170:D170"/>
    <mergeCell ref="C171:D171"/>
    <mergeCell ref="C174:D174"/>
    <mergeCell ref="C176:D176"/>
    <mergeCell ref="C178:D178"/>
    <mergeCell ref="C179:D179"/>
    <mergeCell ref="C181:D181"/>
    <mergeCell ref="C184:D184"/>
    <mergeCell ref="C186:D186"/>
    <mergeCell ref="C189:D189"/>
    <mergeCell ref="C191:D191"/>
    <mergeCell ref="C194:D194"/>
    <mergeCell ref="C196:D196"/>
    <mergeCell ref="C198:D198"/>
    <mergeCell ref="C200:D200"/>
    <mergeCell ref="C205:D205"/>
    <mergeCell ref="C206:D206"/>
    <mergeCell ref="C208:D208"/>
    <mergeCell ref="C211:D211"/>
    <mergeCell ref="C213:D213"/>
    <mergeCell ref="C216:D216"/>
    <mergeCell ref="C218:D218"/>
    <mergeCell ref="C221:D221"/>
    <mergeCell ref="C223:D223"/>
    <mergeCell ref="C224:D224"/>
    <mergeCell ref="C226:D226"/>
    <mergeCell ref="C228:D228"/>
    <mergeCell ref="C230:D230"/>
    <mergeCell ref="C232:D232"/>
    <mergeCell ref="C233:D233"/>
    <mergeCell ref="C236:D236"/>
    <mergeCell ref="C238:D238"/>
    <mergeCell ref="C240:D240"/>
    <mergeCell ref="C242:D242"/>
    <mergeCell ref="C244:D244"/>
    <mergeCell ref="C246:D246"/>
    <mergeCell ref="C248:D248"/>
    <mergeCell ref="C250:D250"/>
    <mergeCell ref="C252:D252"/>
    <mergeCell ref="C254:D254"/>
    <mergeCell ref="C256:D256"/>
    <mergeCell ref="C258:D258"/>
    <mergeCell ref="C260:D260"/>
    <mergeCell ref="C262:D262"/>
    <mergeCell ref="C264:D264"/>
    <mergeCell ref="C266:D266"/>
    <mergeCell ref="C268:D268"/>
    <mergeCell ref="C270:D270"/>
    <mergeCell ref="C272:D272"/>
    <mergeCell ref="C274:D274"/>
    <mergeCell ref="C275:D275"/>
    <mergeCell ref="C277:D277"/>
    <mergeCell ref="C279:D279"/>
    <mergeCell ref="C280:D280"/>
    <mergeCell ref="C282:D282"/>
    <mergeCell ref="C284:D284"/>
    <mergeCell ref="C286:D286"/>
    <mergeCell ref="C289:D289"/>
    <mergeCell ref="C292:D292"/>
    <mergeCell ref="C294:D294"/>
    <mergeCell ref="C296:D296"/>
    <mergeCell ref="C297:D297"/>
    <mergeCell ref="C299:D299"/>
    <mergeCell ref="C302:D302"/>
    <mergeCell ref="C304:D304"/>
    <mergeCell ref="C306:D306"/>
    <mergeCell ref="C308:D308"/>
    <mergeCell ref="C310:D310"/>
    <mergeCell ref="C312:D312"/>
    <mergeCell ref="C314:D314"/>
    <mergeCell ref="C316:D316"/>
    <mergeCell ref="C318:D318"/>
    <mergeCell ref="C320:D320"/>
    <mergeCell ref="C322:D322"/>
    <mergeCell ref="C324:D324"/>
    <mergeCell ref="C326:D326"/>
    <mergeCell ref="C328:D328"/>
    <mergeCell ref="C330:D330"/>
    <mergeCell ref="C332:D332"/>
    <mergeCell ref="C334:D334"/>
    <mergeCell ref="C336:D336"/>
    <mergeCell ref="C338:D338"/>
    <mergeCell ref="C340:D340"/>
    <mergeCell ref="C342:D342"/>
    <mergeCell ref="C344:D344"/>
    <mergeCell ref="C346:D346"/>
    <mergeCell ref="C348:D348"/>
    <mergeCell ref="C350:D350"/>
    <mergeCell ref="C351:D351"/>
    <mergeCell ref="C354:D354"/>
    <mergeCell ref="C356:D356"/>
    <mergeCell ref="C358:D358"/>
    <mergeCell ref="C360:D360"/>
    <mergeCell ref="C362:D362"/>
    <mergeCell ref="C364:D364"/>
    <mergeCell ref="C366:D366"/>
    <mergeCell ref="C368:D368"/>
    <mergeCell ref="C370:D370"/>
    <mergeCell ref="C372:D372"/>
    <mergeCell ref="C374:D374"/>
    <mergeCell ref="C376:D376"/>
    <mergeCell ref="C378:D378"/>
    <mergeCell ref="C380:D380"/>
    <mergeCell ref="C382:D382"/>
    <mergeCell ref="C384:D384"/>
    <mergeCell ref="C386:D386"/>
    <mergeCell ref="C388:D388"/>
    <mergeCell ref="C389:D389"/>
    <mergeCell ref="C394:D394"/>
    <mergeCell ref="C398:D398"/>
    <mergeCell ref="C402:D402"/>
    <mergeCell ref="C404:D404"/>
    <mergeCell ref="C406:D406"/>
    <mergeCell ref="C408:D408"/>
    <mergeCell ref="C409:D409"/>
    <mergeCell ref="C412:D412"/>
    <mergeCell ref="C414:D414"/>
    <mergeCell ref="C417:D417"/>
    <mergeCell ref="C418:D418"/>
    <mergeCell ref="C420:D420"/>
    <mergeCell ref="C421:D421"/>
    <mergeCell ref="C423:D423"/>
    <mergeCell ref="C424:D424"/>
    <mergeCell ref="C427:D427"/>
    <mergeCell ref="C429:D429"/>
    <mergeCell ref="C431:D431"/>
    <mergeCell ref="C433:D433"/>
    <mergeCell ref="C435:D435"/>
    <mergeCell ref="C437:D437"/>
    <mergeCell ref="C439:D439"/>
    <mergeCell ref="C441:D441"/>
    <mergeCell ref="C442:D442"/>
    <mergeCell ref="C444:D444"/>
    <mergeCell ref="C446:D446"/>
    <mergeCell ref="C448:D448"/>
    <mergeCell ref="C450:D450"/>
    <mergeCell ref="C452:D452"/>
    <mergeCell ref="C453:D453"/>
    <mergeCell ref="C455:D455"/>
    <mergeCell ref="C459:D459"/>
    <mergeCell ref="C460:D460"/>
    <mergeCell ref="C462:D462"/>
    <mergeCell ref="C463:D463"/>
    <mergeCell ref="C465:D465"/>
    <mergeCell ref="C467:D467"/>
    <mergeCell ref="C469:D469"/>
    <mergeCell ref="C471:D471"/>
    <mergeCell ref="C473:D473"/>
    <mergeCell ref="C475:D475"/>
    <mergeCell ref="C477:D477"/>
    <mergeCell ref="C479:D479"/>
    <mergeCell ref="C481:D481"/>
    <mergeCell ref="C483:D483"/>
    <mergeCell ref="C485:D485"/>
    <mergeCell ref="C487:D487"/>
    <mergeCell ref="C489:D489"/>
    <mergeCell ref="C491:D491"/>
    <mergeCell ref="C493:D493"/>
    <mergeCell ref="C495:D495"/>
    <mergeCell ref="C497:D497"/>
    <mergeCell ref="C499:D499"/>
    <mergeCell ref="C501:D501"/>
    <mergeCell ref="C503:D503"/>
    <mergeCell ref="C505:D505"/>
    <mergeCell ref="C507:D507"/>
    <mergeCell ref="C509:D509"/>
    <mergeCell ref="C512:D512"/>
    <mergeCell ref="C514:D514"/>
    <mergeCell ref="C516:D516"/>
    <mergeCell ref="C518:D518"/>
    <mergeCell ref="C520:D520"/>
    <mergeCell ref="C522:D522"/>
    <mergeCell ref="C524:D524"/>
    <mergeCell ref="C526:D526"/>
    <mergeCell ref="C528:D528"/>
    <mergeCell ref="C530:D530"/>
    <mergeCell ref="C532:D532"/>
    <mergeCell ref="C534:D534"/>
    <mergeCell ref="C536:D536"/>
    <mergeCell ref="C538:D538"/>
    <mergeCell ref="C540:D540"/>
    <mergeCell ref="C542:D542"/>
    <mergeCell ref="C544:D544"/>
    <mergeCell ref="C546:D546"/>
    <mergeCell ref="C548:D548"/>
    <mergeCell ref="C550:D550"/>
    <mergeCell ref="C551:D551"/>
    <mergeCell ref="C553:D553"/>
    <mergeCell ref="C555:D555"/>
    <mergeCell ref="C556:D556"/>
    <mergeCell ref="C558:D558"/>
    <mergeCell ref="C560:D560"/>
    <mergeCell ref="C562:D562"/>
    <mergeCell ref="C564:D564"/>
    <mergeCell ref="C566:D566"/>
    <mergeCell ref="H568:I568"/>
    <mergeCell ref="A570:K570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1" topLeftCell="A18" activePane="bottomLeft" state="frozen"/>
      <selection pane="topLeft" activeCell="A1" activeCellId="0" sqref="A1"/>
      <selection pane="bottomLeft" activeCell="G6" activeCellId="0" sqref="G6"/>
    </sheetView>
  </sheetViews>
  <sheetFormatPr defaultColWidth="12.1484375" defaultRowHeight="15" zeroHeight="false" outlineLevelRow="0" outlineLevelCol="0"/>
  <cols>
    <col collapsed="false" customWidth="true" hidden="false" outlineLevel="0" max="2" min="1" style="0" width="4.29"/>
    <col collapsed="false" customWidth="true" hidden="false" outlineLevel="0" max="3" min="3" style="0" width="71.42"/>
    <col collapsed="false" customWidth="true" hidden="false" outlineLevel="0" max="7" min="5" style="0" width="27.86"/>
    <col collapsed="false" customWidth="true" hidden="true" outlineLevel="0" max="9" min="8" style="0" width="11.53"/>
  </cols>
  <sheetData>
    <row r="1" customFormat="false" ht="54.75" hidden="false" customHeight="true" outlineLevel="0" collapsed="false">
      <c r="A1" s="1" t="s">
        <v>1085</v>
      </c>
      <c r="B1" s="1"/>
      <c r="C1" s="1"/>
      <c r="D1" s="1"/>
      <c r="E1" s="1"/>
      <c r="F1" s="1"/>
      <c r="G1" s="1"/>
    </row>
    <row r="2" customFormat="false" ht="15" hidden="false" customHeight="true" outlineLevel="0" collapsed="false">
      <c r="A2" s="3" t="s">
        <v>1</v>
      </c>
      <c r="B2" s="3"/>
      <c r="C2" s="49" t="str">
        <f aca="false">'Stavební rozpočet'!C2</f>
        <v>ZATEPLENÍ OBJEKTU BD Č.P.3014</v>
      </c>
      <c r="D2" s="5" t="s">
        <v>3</v>
      </c>
      <c r="E2" s="5" t="s">
        <v>4</v>
      </c>
      <c r="F2" s="6" t="s">
        <v>5</v>
      </c>
      <c r="G2" s="50" t="str">
        <f aca="false">'Stavební rozpočet'!I2</f>
        <v>MĚSTO VARNSDORF</v>
      </c>
    </row>
    <row r="3" customFormat="false" ht="15" hidden="false" customHeight="true" outlineLevel="0" collapsed="false">
      <c r="A3" s="3"/>
      <c r="B3" s="3"/>
      <c r="C3" s="49"/>
      <c r="D3" s="5"/>
      <c r="E3" s="5"/>
      <c r="F3" s="5"/>
      <c r="G3" s="50"/>
    </row>
    <row r="4" customFormat="false" ht="15" hidden="false" customHeight="true" outlineLevel="0" collapsed="false">
      <c r="A4" s="8" t="s">
        <v>7</v>
      </c>
      <c r="B4" s="8"/>
      <c r="C4" s="9" t="str">
        <f aca="false">'Stavební rozpočet'!C4</f>
        <v>STAVEBNÍ PRÁCE</v>
      </c>
      <c r="D4" s="10" t="s">
        <v>9</v>
      </c>
      <c r="E4" s="10" t="s">
        <v>4</v>
      </c>
      <c r="F4" s="9" t="s">
        <v>10</v>
      </c>
      <c r="G4" s="11" t="str">
        <f aca="false">'Stavební rozpočet'!I4</f>
        <v>Ing. Jiří Drahota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11"/>
    </row>
    <row r="6" customFormat="false" ht="15" hidden="false" customHeight="true" outlineLevel="0" collapsed="false">
      <c r="A6" s="8" t="s">
        <v>12</v>
      </c>
      <c r="B6" s="8"/>
      <c r="C6" s="9" t="str">
        <f aca="false">'Stavební rozpočet'!C6</f>
        <v>VARNSDORF,KAROLÍNY SVĚTLÉ Č.P.3014</v>
      </c>
      <c r="D6" s="10" t="s">
        <v>14</v>
      </c>
      <c r="E6" s="10" t="s">
        <v>4</v>
      </c>
      <c r="F6" s="9" t="s">
        <v>15</v>
      </c>
      <c r="G6" s="11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11"/>
    </row>
    <row r="8" customFormat="false" ht="13.8" hidden="false" customHeight="true" outlineLevel="0" collapsed="false">
      <c r="A8" s="8" t="s">
        <v>18</v>
      </c>
      <c r="B8" s="8"/>
      <c r="C8" s="51" t="str">
        <f aca="false">'[1]Stavební rozpočet'!H8</f>
        <v>Ing. Jiří Drahota, Jiří Trojan</v>
      </c>
      <c r="D8" s="52" t="s">
        <v>17</v>
      </c>
      <c r="E8" s="12" t="n">
        <v>45412</v>
      </c>
      <c r="F8" s="10" t="s">
        <v>17</v>
      </c>
      <c r="G8" s="53" t="n">
        <v>45412</v>
      </c>
    </row>
    <row r="9" customFormat="false" ht="13.8" hidden="false" customHeight="false" outlineLevel="0" collapsed="false">
      <c r="A9" s="8"/>
      <c r="B9" s="8"/>
      <c r="C9" s="51"/>
      <c r="D9" s="52"/>
      <c r="E9" s="12"/>
      <c r="F9" s="12"/>
      <c r="G9" s="53"/>
    </row>
    <row r="10" customFormat="false" ht="15" hidden="false" customHeight="false" outlineLevel="0" collapsed="false">
      <c r="A10" s="54" t="s">
        <v>21</v>
      </c>
      <c r="B10" s="54"/>
      <c r="C10" s="14" t="s">
        <v>22</v>
      </c>
      <c r="E10" s="55" t="s">
        <v>1086</v>
      </c>
      <c r="F10" s="56" t="s">
        <v>1087</v>
      </c>
      <c r="G10" s="56" t="s">
        <v>1088</v>
      </c>
    </row>
    <row r="11" customFormat="false" ht="15" hidden="false" customHeight="false" outlineLevel="0" collapsed="false">
      <c r="A11" s="32" t="s">
        <v>49</v>
      </c>
      <c r="B11" s="32"/>
      <c r="C11" s="10" t="s">
        <v>50</v>
      </c>
      <c r="D11" s="10"/>
      <c r="E11" s="33" t="n">
        <f aca="false">'Stavební rozpočet'!H12</f>
        <v>0</v>
      </c>
      <c r="F11" s="33" t="n">
        <f aca="false">'Stavební rozpočet'!I12</f>
        <v>0</v>
      </c>
      <c r="G11" s="33" t="n">
        <f aca="false">'Stavební rozpočet'!J12</f>
        <v>0</v>
      </c>
      <c r="H11" s="35" t="s">
        <v>1089</v>
      </c>
      <c r="I11" s="33" t="n">
        <f aca="false">IF(H11="F",0,G11)</f>
        <v>0</v>
      </c>
    </row>
    <row r="12" customFormat="false" ht="15" hidden="false" customHeight="false" outlineLevel="0" collapsed="false">
      <c r="A12" s="32" t="s">
        <v>78</v>
      </c>
      <c r="B12" s="32"/>
      <c r="C12" s="10" t="s">
        <v>79</v>
      </c>
      <c r="D12" s="10"/>
      <c r="E12" s="33" t="n">
        <f aca="false">'Stavební rozpočet'!H27</f>
        <v>0</v>
      </c>
      <c r="F12" s="33" t="n">
        <f aca="false">'Stavební rozpočet'!I27</f>
        <v>0</v>
      </c>
      <c r="G12" s="33" t="n">
        <f aca="false">'Stavební rozpočet'!J27</f>
        <v>0</v>
      </c>
      <c r="H12" s="35" t="s">
        <v>1089</v>
      </c>
      <c r="I12" s="33" t="n">
        <f aca="false">IF(H12="F",0,G12)</f>
        <v>0</v>
      </c>
    </row>
    <row r="13" customFormat="false" ht="15" hidden="false" customHeight="false" outlineLevel="0" collapsed="false">
      <c r="A13" s="32" t="s">
        <v>93</v>
      </c>
      <c r="B13" s="32"/>
      <c r="C13" s="10" t="s">
        <v>94</v>
      </c>
      <c r="D13" s="10"/>
      <c r="E13" s="33" t="n">
        <f aca="false">'Stavební rozpočet'!H32</f>
        <v>0</v>
      </c>
      <c r="F13" s="33" t="n">
        <f aca="false">'Stavební rozpočet'!I32</f>
        <v>0</v>
      </c>
      <c r="G13" s="33" t="n">
        <f aca="false">'Stavební rozpočet'!J32</f>
        <v>0</v>
      </c>
      <c r="H13" s="35" t="s">
        <v>1089</v>
      </c>
      <c r="I13" s="33" t="n">
        <f aca="false">IF(H13="F",0,G13)</f>
        <v>0</v>
      </c>
    </row>
    <row r="14" customFormat="false" ht="15" hidden="false" customHeight="false" outlineLevel="0" collapsed="false">
      <c r="A14" s="32" t="s">
        <v>102</v>
      </c>
      <c r="B14" s="32"/>
      <c r="C14" s="10" t="s">
        <v>103</v>
      </c>
      <c r="D14" s="10"/>
      <c r="E14" s="33" t="n">
        <f aca="false">'Stavební rozpočet'!H35</f>
        <v>0</v>
      </c>
      <c r="F14" s="33" t="n">
        <f aca="false">'Stavební rozpočet'!I35</f>
        <v>0</v>
      </c>
      <c r="G14" s="33" t="n">
        <f aca="false">'Stavební rozpočet'!J35</f>
        <v>0</v>
      </c>
      <c r="H14" s="35" t="s">
        <v>1089</v>
      </c>
      <c r="I14" s="33" t="n">
        <f aca="false">IF(H14="F",0,G14)</f>
        <v>0</v>
      </c>
    </row>
    <row r="15" customFormat="false" ht="15" hidden="false" customHeight="false" outlineLevel="0" collapsed="false">
      <c r="A15" s="32" t="s">
        <v>112</v>
      </c>
      <c r="B15" s="32"/>
      <c r="C15" s="10" t="s">
        <v>113</v>
      </c>
      <c r="D15" s="10"/>
      <c r="E15" s="33" t="n">
        <f aca="false">'Stavební rozpočet'!H40</f>
        <v>0</v>
      </c>
      <c r="F15" s="33" t="n">
        <f aca="false">'Stavební rozpočet'!I40</f>
        <v>0</v>
      </c>
      <c r="G15" s="33" t="n">
        <f aca="false">'Stavební rozpočet'!J40</f>
        <v>0</v>
      </c>
      <c r="H15" s="35" t="s">
        <v>1089</v>
      </c>
      <c r="I15" s="33" t="n">
        <f aca="false">IF(H15="F",0,G15)</f>
        <v>0</v>
      </c>
    </row>
    <row r="16" customFormat="false" ht="15" hidden="false" customHeight="false" outlineLevel="0" collapsed="false">
      <c r="A16" s="32" t="s">
        <v>119</v>
      </c>
      <c r="B16" s="32"/>
      <c r="C16" s="10" t="s">
        <v>120</v>
      </c>
      <c r="D16" s="10"/>
      <c r="E16" s="33" t="n">
        <f aca="false">'Stavební rozpočet'!H43</f>
        <v>0</v>
      </c>
      <c r="F16" s="33" t="n">
        <f aca="false">'Stavební rozpočet'!I43</f>
        <v>0</v>
      </c>
      <c r="G16" s="33" t="n">
        <f aca="false">'Stavební rozpočet'!J43</f>
        <v>0</v>
      </c>
      <c r="H16" s="35" t="s">
        <v>1089</v>
      </c>
      <c r="I16" s="33" t="n">
        <f aca="false">IF(H16="F",0,G16)</f>
        <v>0</v>
      </c>
    </row>
    <row r="17" customFormat="false" ht="15" hidden="false" customHeight="false" outlineLevel="0" collapsed="false">
      <c r="A17" s="32" t="s">
        <v>125</v>
      </c>
      <c r="B17" s="32"/>
      <c r="C17" s="10" t="s">
        <v>126</v>
      </c>
      <c r="D17" s="10"/>
      <c r="E17" s="33" t="n">
        <f aca="false">'Stavební rozpočet'!H46</f>
        <v>0</v>
      </c>
      <c r="F17" s="33" t="n">
        <f aca="false">'Stavební rozpočet'!I46</f>
        <v>0</v>
      </c>
      <c r="G17" s="33" t="n">
        <f aca="false">'Stavební rozpočet'!J46</f>
        <v>0</v>
      </c>
      <c r="H17" s="35" t="s">
        <v>1089</v>
      </c>
      <c r="I17" s="33" t="n">
        <f aca="false">IF(H17="F",0,G17)</f>
        <v>0</v>
      </c>
    </row>
    <row r="18" customFormat="false" ht="15" hidden="false" customHeight="false" outlineLevel="0" collapsed="false">
      <c r="A18" s="32" t="s">
        <v>134</v>
      </c>
      <c r="B18" s="32"/>
      <c r="C18" s="10" t="s">
        <v>135</v>
      </c>
      <c r="D18" s="10"/>
      <c r="E18" s="33" t="n">
        <f aca="false">'Stavební rozpočet'!H50</f>
        <v>0</v>
      </c>
      <c r="F18" s="33" t="n">
        <f aca="false">'Stavební rozpočet'!I50</f>
        <v>0</v>
      </c>
      <c r="G18" s="33" t="n">
        <f aca="false">'Stavební rozpočet'!J50</f>
        <v>0</v>
      </c>
      <c r="H18" s="35" t="s">
        <v>1089</v>
      </c>
      <c r="I18" s="33" t="n">
        <f aca="false">IF(H18="F",0,G18)</f>
        <v>0</v>
      </c>
    </row>
    <row r="19" customFormat="false" ht="15" hidden="false" customHeight="false" outlineLevel="0" collapsed="false">
      <c r="A19" s="32" t="s">
        <v>144</v>
      </c>
      <c r="B19" s="32"/>
      <c r="C19" s="10" t="s">
        <v>145</v>
      </c>
      <c r="D19" s="10"/>
      <c r="E19" s="33" t="n">
        <f aca="false">'Stavební rozpočet'!H54</f>
        <v>0</v>
      </c>
      <c r="F19" s="33" t="n">
        <f aca="false">'Stavební rozpočet'!I54</f>
        <v>0</v>
      </c>
      <c r="G19" s="33" t="n">
        <f aca="false">'Stavební rozpočet'!J54</f>
        <v>0</v>
      </c>
      <c r="H19" s="35" t="s">
        <v>1089</v>
      </c>
      <c r="I19" s="33" t="n">
        <f aca="false">IF(H19="F",0,G19)</f>
        <v>0</v>
      </c>
    </row>
    <row r="20" customFormat="false" ht="15" hidden="false" customHeight="false" outlineLevel="0" collapsed="false">
      <c r="A20" s="32" t="s">
        <v>174</v>
      </c>
      <c r="B20" s="32"/>
      <c r="C20" s="10" t="s">
        <v>175</v>
      </c>
      <c r="D20" s="10"/>
      <c r="E20" s="33" t="n">
        <f aca="false">'Stavební rozpočet'!H69</f>
        <v>0</v>
      </c>
      <c r="F20" s="33" t="n">
        <f aca="false">'Stavební rozpočet'!I69</f>
        <v>0</v>
      </c>
      <c r="G20" s="33" t="n">
        <f aca="false">'Stavební rozpočet'!J69</f>
        <v>0</v>
      </c>
      <c r="H20" s="35" t="s">
        <v>1089</v>
      </c>
      <c r="I20" s="33" t="n">
        <f aca="false">IF(H20="F",0,G20)</f>
        <v>0</v>
      </c>
    </row>
    <row r="21" customFormat="false" ht="15" hidden="false" customHeight="false" outlineLevel="0" collapsed="false">
      <c r="A21" s="32" t="s">
        <v>182</v>
      </c>
      <c r="B21" s="32"/>
      <c r="C21" s="10" t="s">
        <v>183</v>
      </c>
      <c r="D21" s="10"/>
      <c r="E21" s="33" t="n">
        <f aca="false">'Stavební rozpočet'!H72</f>
        <v>0</v>
      </c>
      <c r="F21" s="33" t="n">
        <f aca="false">'Stavební rozpočet'!I72</f>
        <v>0</v>
      </c>
      <c r="G21" s="33" t="n">
        <f aca="false">'Stavební rozpočet'!J72</f>
        <v>0</v>
      </c>
      <c r="H21" s="35" t="s">
        <v>1089</v>
      </c>
      <c r="I21" s="33" t="n">
        <f aca="false">IF(H21="F",0,G21)</f>
        <v>0</v>
      </c>
    </row>
    <row r="22" customFormat="false" ht="15" hidden="false" customHeight="false" outlineLevel="0" collapsed="false">
      <c r="A22" s="32" t="s">
        <v>321</v>
      </c>
      <c r="B22" s="32"/>
      <c r="C22" s="10" t="s">
        <v>322</v>
      </c>
      <c r="D22" s="10"/>
      <c r="E22" s="33" t="n">
        <f aca="false">'Stavební rozpočet'!H149</f>
        <v>0</v>
      </c>
      <c r="F22" s="33" t="n">
        <f aca="false">'Stavební rozpočet'!I149</f>
        <v>0</v>
      </c>
      <c r="G22" s="33" t="n">
        <f aca="false">'Stavební rozpočet'!J149</f>
        <v>0</v>
      </c>
      <c r="H22" s="35" t="s">
        <v>1089</v>
      </c>
      <c r="I22" s="33" t="n">
        <f aca="false">IF(H22="F",0,G22)</f>
        <v>0</v>
      </c>
    </row>
    <row r="23" customFormat="false" ht="15" hidden="false" customHeight="false" outlineLevel="0" collapsed="false">
      <c r="A23" s="32" t="s">
        <v>335</v>
      </c>
      <c r="B23" s="32"/>
      <c r="C23" s="10" t="s">
        <v>336</v>
      </c>
      <c r="D23" s="10"/>
      <c r="E23" s="33" t="n">
        <f aca="false">'Stavební rozpočet'!H156</f>
        <v>0</v>
      </c>
      <c r="F23" s="33" t="n">
        <f aca="false">'Stavební rozpočet'!I156</f>
        <v>0</v>
      </c>
      <c r="G23" s="33" t="n">
        <f aca="false">'Stavební rozpočet'!J156</f>
        <v>0</v>
      </c>
      <c r="H23" s="35" t="s">
        <v>1089</v>
      </c>
      <c r="I23" s="33" t="n">
        <f aca="false">IF(H23="F",0,G23)</f>
        <v>0</v>
      </c>
    </row>
    <row r="24" customFormat="false" ht="15" hidden="false" customHeight="false" outlineLevel="0" collapsed="false">
      <c r="A24" s="32" t="s">
        <v>344</v>
      </c>
      <c r="B24" s="32"/>
      <c r="C24" s="10" t="s">
        <v>345</v>
      </c>
      <c r="D24" s="10"/>
      <c r="E24" s="33" t="n">
        <f aca="false">'Stavební rozpočet'!H161</f>
        <v>0</v>
      </c>
      <c r="F24" s="33" t="n">
        <f aca="false">'Stavební rozpočet'!I161</f>
        <v>0</v>
      </c>
      <c r="G24" s="33" t="n">
        <f aca="false">'Stavební rozpočet'!J161</f>
        <v>0</v>
      </c>
      <c r="H24" s="35" t="s">
        <v>1089</v>
      </c>
      <c r="I24" s="33" t="n">
        <f aca="false">IF(H24="F",0,G24)</f>
        <v>0</v>
      </c>
    </row>
    <row r="25" customFormat="false" ht="15" hidden="false" customHeight="false" outlineLevel="0" collapsed="false">
      <c r="A25" s="32" t="s">
        <v>365</v>
      </c>
      <c r="B25" s="32"/>
      <c r="C25" s="10" t="s">
        <v>366</v>
      </c>
      <c r="D25" s="10"/>
      <c r="E25" s="33" t="n">
        <f aca="false">'Stavební rozpočet'!H170</f>
        <v>0</v>
      </c>
      <c r="F25" s="33" t="n">
        <f aca="false">'Stavební rozpočet'!I170</f>
        <v>0</v>
      </c>
      <c r="G25" s="33" t="n">
        <f aca="false">'Stavební rozpočet'!J170</f>
        <v>0</v>
      </c>
      <c r="H25" s="35" t="s">
        <v>1089</v>
      </c>
      <c r="I25" s="33" t="n">
        <f aca="false">IF(H25="F",0,G25)</f>
        <v>0</v>
      </c>
    </row>
    <row r="26" customFormat="false" ht="15" hidden="false" customHeight="false" outlineLevel="0" collapsed="false">
      <c r="A26" s="32" t="s">
        <v>380</v>
      </c>
      <c r="B26" s="32"/>
      <c r="C26" s="10" t="s">
        <v>381</v>
      </c>
      <c r="D26" s="10"/>
      <c r="E26" s="33" t="n">
        <f aca="false">'Stavební rozpočet'!H178</f>
        <v>0</v>
      </c>
      <c r="F26" s="33" t="n">
        <f aca="false">'Stavební rozpočet'!I178</f>
        <v>0</v>
      </c>
      <c r="G26" s="33" t="n">
        <f aca="false">'Stavební rozpočet'!J178</f>
        <v>0</v>
      </c>
      <c r="H26" s="35" t="s">
        <v>1089</v>
      </c>
      <c r="I26" s="33" t="n">
        <f aca="false">IF(H26="F",0,G26)</f>
        <v>0</v>
      </c>
    </row>
    <row r="27" customFormat="false" ht="15" hidden="false" customHeight="false" outlineLevel="0" collapsed="false">
      <c r="A27" s="32" t="s">
        <v>428</v>
      </c>
      <c r="B27" s="32"/>
      <c r="C27" s="10" t="s">
        <v>429</v>
      </c>
      <c r="D27" s="10"/>
      <c r="E27" s="33" t="n">
        <f aca="false">'Stavební rozpočet'!H205</f>
        <v>0</v>
      </c>
      <c r="F27" s="33" t="n">
        <f aca="false">'Stavební rozpočet'!I205</f>
        <v>0</v>
      </c>
      <c r="G27" s="33" t="n">
        <f aca="false">'Stavební rozpočet'!J205</f>
        <v>0</v>
      </c>
      <c r="H27" s="35" t="s">
        <v>1089</v>
      </c>
      <c r="I27" s="33" t="n">
        <f aca="false">IF(H27="F",0,G27)</f>
        <v>0</v>
      </c>
    </row>
    <row r="28" customFormat="false" ht="15" hidden="false" customHeight="false" outlineLevel="0" collapsed="false">
      <c r="A28" s="32" t="s">
        <v>459</v>
      </c>
      <c r="B28" s="32"/>
      <c r="C28" s="10" t="s">
        <v>460</v>
      </c>
      <c r="D28" s="10"/>
      <c r="E28" s="33" t="n">
        <f aca="false">'Stavební rozpočet'!H223</f>
        <v>0</v>
      </c>
      <c r="F28" s="33" t="n">
        <f aca="false">'Stavební rozpočet'!I223</f>
        <v>0</v>
      </c>
      <c r="G28" s="33" t="n">
        <f aca="false">'Stavební rozpočet'!J223</f>
        <v>0</v>
      </c>
      <c r="H28" s="35" t="s">
        <v>1089</v>
      </c>
      <c r="I28" s="33" t="n">
        <f aca="false">IF(H28="F",0,G28)</f>
        <v>0</v>
      </c>
    </row>
    <row r="29" customFormat="false" ht="15" hidden="false" customHeight="false" outlineLevel="0" collapsed="false">
      <c r="A29" s="32" t="s">
        <v>476</v>
      </c>
      <c r="B29" s="32"/>
      <c r="C29" s="10" t="s">
        <v>477</v>
      </c>
      <c r="D29" s="10"/>
      <c r="E29" s="33" t="n">
        <f aca="false">'Stavební rozpočet'!H232</f>
        <v>0</v>
      </c>
      <c r="F29" s="33" t="n">
        <f aca="false">'Stavební rozpočet'!I232</f>
        <v>0</v>
      </c>
      <c r="G29" s="33" t="n">
        <f aca="false">'Stavební rozpočet'!J232</f>
        <v>0</v>
      </c>
      <c r="H29" s="35" t="s">
        <v>1089</v>
      </c>
      <c r="I29" s="33" t="n">
        <f aca="false">IF(H29="F",0,G29)</f>
        <v>0</v>
      </c>
    </row>
    <row r="30" customFormat="false" ht="15" hidden="false" customHeight="false" outlineLevel="0" collapsed="false">
      <c r="A30" s="32" t="s">
        <v>566</v>
      </c>
      <c r="B30" s="32"/>
      <c r="C30" s="10" t="s">
        <v>567</v>
      </c>
      <c r="D30" s="10"/>
      <c r="E30" s="33" t="n">
        <f aca="false">'Stavební rozpočet'!H279</f>
        <v>0</v>
      </c>
      <c r="F30" s="33" t="n">
        <f aca="false">'Stavební rozpočet'!I279</f>
        <v>0</v>
      </c>
      <c r="G30" s="33" t="n">
        <f aca="false">'Stavební rozpočet'!J279</f>
        <v>0</v>
      </c>
      <c r="H30" s="35" t="s">
        <v>1089</v>
      </c>
      <c r="I30" s="33" t="n">
        <f aca="false">IF(H30="F",0,G30)</f>
        <v>0</v>
      </c>
    </row>
    <row r="31" customFormat="false" ht="15" hidden="false" customHeight="false" outlineLevel="0" collapsed="false">
      <c r="A31" s="32" t="s">
        <v>603</v>
      </c>
      <c r="B31" s="32"/>
      <c r="C31" s="10" t="s">
        <v>604</v>
      </c>
      <c r="D31" s="10"/>
      <c r="E31" s="33" t="n">
        <f aca="false">'Stavební rozpočet'!H296</f>
        <v>0</v>
      </c>
      <c r="F31" s="33" t="n">
        <f aca="false">'Stavební rozpočet'!I296</f>
        <v>0</v>
      </c>
      <c r="G31" s="33" t="n">
        <f aca="false">'Stavební rozpočet'!J296</f>
        <v>0</v>
      </c>
      <c r="H31" s="35" t="s">
        <v>1089</v>
      </c>
      <c r="I31" s="33" t="n">
        <f aca="false">IF(H31="F",0,G31)</f>
        <v>0</v>
      </c>
    </row>
    <row r="32" customFormat="false" ht="15" hidden="false" customHeight="false" outlineLevel="0" collapsed="false">
      <c r="A32" s="32" t="s">
        <v>695</v>
      </c>
      <c r="B32" s="32"/>
      <c r="C32" s="10" t="s">
        <v>696</v>
      </c>
      <c r="D32" s="10"/>
      <c r="E32" s="33" t="n">
        <f aca="false">'Stavební rozpočet'!H350</f>
        <v>0</v>
      </c>
      <c r="F32" s="33" t="n">
        <f aca="false">'Stavební rozpočet'!I350</f>
        <v>0</v>
      </c>
      <c r="G32" s="33" t="n">
        <f aca="false">'Stavební rozpočet'!J350</f>
        <v>0</v>
      </c>
      <c r="H32" s="35" t="s">
        <v>1089</v>
      </c>
      <c r="I32" s="33" t="n">
        <f aca="false">IF(H32="F",0,G32)</f>
        <v>0</v>
      </c>
    </row>
    <row r="33" customFormat="false" ht="15" hidden="false" customHeight="false" outlineLevel="0" collapsed="false">
      <c r="A33" s="32" t="s">
        <v>764</v>
      </c>
      <c r="B33" s="32"/>
      <c r="C33" s="10" t="s">
        <v>765</v>
      </c>
      <c r="D33" s="10"/>
      <c r="E33" s="33" t="n">
        <f aca="false">'Stavební rozpočet'!H388</f>
        <v>0</v>
      </c>
      <c r="F33" s="33" t="n">
        <f aca="false">'Stavební rozpočet'!I388</f>
        <v>0</v>
      </c>
      <c r="G33" s="33" t="n">
        <f aca="false">'Stavební rozpočet'!J388</f>
        <v>0</v>
      </c>
      <c r="H33" s="35" t="s">
        <v>1089</v>
      </c>
      <c r="I33" s="33" t="n">
        <f aca="false">IF(H33="F",0,G33)</f>
        <v>0</v>
      </c>
    </row>
    <row r="34" customFormat="false" ht="15" hidden="false" customHeight="false" outlineLevel="0" collapsed="false">
      <c r="A34" s="32" t="s">
        <v>805</v>
      </c>
      <c r="B34" s="32"/>
      <c r="C34" s="10" t="s">
        <v>806</v>
      </c>
      <c r="D34" s="10"/>
      <c r="E34" s="33" t="n">
        <f aca="false">'Stavební rozpočet'!H408</f>
        <v>0</v>
      </c>
      <c r="F34" s="33" t="n">
        <f aca="false">'Stavební rozpočet'!I408</f>
        <v>0</v>
      </c>
      <c r="G34" s="33" t="n">
        <f aca="false">'Stavební rozpočet'!J408</f>
        <v>0</v>
      </c>
      <c r="H34" s="35" t="s">
        <v>1089</v>
      </c>
      <c r="I34" s="33" t="n">
        <f aca="false">IF(H34="F",0,G34)</f>
        <v>0</v>
      </c>
    </row>
    <row r="35" customFormat="false" ht="15" hidden="false" customHeight="false" outlineLevel="0" collapsed="false">
      <c r="A35" s="32" t="s">
        <v>528</v>
      </c>
      <c r="B35" s="32"/>
      <c r="C35" s="10" t="s">
        <v>826</v>
      </c>
      <c r="D35" s="10"/>
      <c r="E35" s="33" t="n">
        <f aca="false">'Stavební rozpočet'!H417</f>
        <v>0</v>
      </c>
      <c r="F35" s="33" t="n">
        <f aca="false">'Stavební rozpočet'!I417</f>
        <v>0</v>
      </c>
      <c r="G35" s="33" t="n">
        <f aca="false">'Stavební rozpočet'!J417</f>
        <v>0</v>
      </c>
      <c r="H35" s="35" t="s">
        <v>1089</v>
      </c>
      <c r="I35" s="33" t="n">
        <f aca="false">IF(H35="F",0,G35)</f>
        <v>0</v>
      </c>
    </row>
    <row r="36" customFormat="false" ht="15" hidden="false" customHeight="false" outlineLevel="0" collapsed="false">
      <c r="A36" s="32" t="s">
        <v>532</v>
      </c>
      <c r="B36" s="32"/>
      <c r="C36" s="10" t="s">
        <v>833</v>
      </c>
      <c r="D36" s="10"/>
      <c r="E36" s="33" t="n">
        <f aca="false">'Stavební rozpočet'!H420</f>
        <v>0</v>
      </c>
      <c r="F36" s="33" t="n">
        <f aca="false">'Stavební rozpočet'!I420</f>
        <v>0</v>
      </c>
      <c r="G36" s="33" t="n">
        <f aca="false">'Stavební rozpočet'!J420</f>
        <v>0</v>
      </c>
      <c r="H36" s="35" t="s">
        <v>1089</v>
      </c>
      <c r="I36" s="33" t="n">
        <f aca="false">IF(H36="F",0,G36)</f>
        <v>0</v>
      </c>
    </row>
    <row r="37" customFormat="false" ht="15" hidden="false" customHeight="false" outlineLevel="0" collapsed="false">
      <c r="A37" s="32" t="s">
        <v>542</v>
      </c>
      <c r="B37" s="32"/>
      <c r="C37" s="10" t="s">
        <v>839</v>
      </c>
      <c r="D37" s="10"/>
      <c r="E37" s="33" t="n">
        <f aca="false">'Stavební rozpočet'!H423</f>
        <v>0</v>
      </c>
      <c r="F37" s="33" t="n">
        <f aca="false">'Stavební rozpočet'!I423</f>
        <v>0</v>
      </c>
      <c r="G37" s="33" t="n">
        <f aca="false">'Stavební rozpočet'!J423</f>
        <v>0</v>
      </c>
      <c r="H37" s="35" t="s">
        <v>1089</v>
      </c>
      <c r="I37" s="33" t="n">
        <f aca="false">IF(H37="F",0,G37)</f>
        <v>0</v>
      </c>
    </row>
    <row r="38" customFormat="false" ht="15" hidden="false" customHeight="false" outlineLevel="0" collapsed="false">
      <c r="A38" s="32" t="s">
        <v>546</v>
      </c>
      <c r="B38" s="32"/>
      <c r="C38" s="10" t="s">
        <v>870</v>
      </c>
      <c r="D38" s="10"/>
      <c r="E38" s="33" t="n">
        <f aca="false">'Stavební rozpočet'!H441</f>
        <v>0</v>
      </c>
      <c r="F38" s="33" t="n">
        <f aca="false">'Stavební rozpočet'!I441</f>
        <v>0</v>
      </c>
      <c r="G38" s="33" t="n">
        <f aca="false">'Stavební rozpočet'!J441</f>
        <v>0</v>
      </c>
      <c r="H38" s="35" t="s">
        <v>1089</v>
      </c>
      <c r="I38" s="33" t="n">
        <f aca="false">IF(H38="F",0,G38)</f>
        <v>0</v>
      </c>
    </row>
    <row r="39" customFormat="false" ht="15" hidden="false" customHeight="false" outlineLevel="0" collapsed="false">
      <c r="A39" s="32" t="s">
        <v>549</v>
      </c>
      <c r="B39" s="32"/>
      <c r="C39" s="10" t="s">
        <v>892</v>
      </c>
      <c r="D39" s="10"/>
      <c r="E39" s="33" t="n">
        <f aca="false">'Stavební rozpočet'!H452</f>
        <v>0</v>
      </c>
      <c r="F39" s="33" t="n">
        <f aca="false">'Stavební rozpočet'!I452</f>
        <v>0</v>
      </c>
      <c r="G39" s="33" t="n">
        <f aca="false">'Stavební rozpočet'!J452</f>
        <v>0</v>
      </c>
      <c r="H39" s="35" t="s">
        <v>1089</v>
      </c>
      <c r="I39" s="33" t="n">
        <f aca="false">IF(H39="F",0,G39)</f>
        <v>0</v>
      </c>
    </row>
    <row r="40" customFormat="false" ht="15" hidden="false" customHeight="false" outlineLevel="0" collapsed="false">
      <c r="A40" s="32" t="s">
        <v>552</v>
      </c>
      <c r="B40" s="32"/>
      <c r="C40" s="10" t="s">
        <v>904</v>
      </c>
      <c r="D40" s="10"/>
      <c r="E40" s="33" t="n">
        <f aca="false">'Stavební rozpočet'!H459</f>
        <v>0</v>
      </c>
      <c r="F40" s="33" t="n">
        <f aca="false">'Stavební rozpočet'!I459</f>
        <v>0</v>
      </c>
      <c r="G40" s="33" t="n">
        <f aca="false">'Stavební rozpočet'!J459</f>
        <v>0</v>
      </c>
      <c r="H40" s="35" t="s">
        <v>1089</v>
      </c>
      <c r="I40" s="33" t="n">
        <f aca="false">IF(H40="F",0,G40)</f>
        <v>0</v>
      </c>
    </row>
    <row r="41" customFormat="false" ht="15" hidden="false" customHeight="false" outlineLevel="0" collapsed="false">
      <c r="A41" s="32" t="s">
        <v>911</v>
      </c>
      <c r="B41" s="32"/>
      <c r="C41" s="10" t="s">
        <v>912</v>
      </c>
      <c r="D41" s="10"/>
      <c r="E41" s="33" t="n">
        <f aca="false">'Stavební rozpočet'!H462</f>
        <v>0</v>
      </c>
      <c r="F41" s="33" t="n">
        <f aca="false">'Stavební rozpočet'!I462</f>
        <v>0</v>
      </c>
      <c r="G41" s="33" t="n">
        <f aca="false">'Stavební rozpočet'!J462</f>
        <v>0</v>
      </c>
      <c r="H41" s="35" t="s">
        <v>1089</v>
      </c>
      <c r="I41" s="33" t="n">
        <f aca="false">IF(H41="F",0,G41)</f>
        <v>0</v>
      </c>
    </row>
    <row r="42" customFormat="false" ht="15" hidden="false" customHeight="false" outlineLevel="0" collapsed="false">
      <c r="A42" s="32" t="s">
        <v>1048</v>
      </c>
      <c r="B42" s="32"/>
      <c r="C42" s="10" t="s">
        <v>1049</v>
      </c>
      <c r="D42" s="10"/>
      <c r="E42" s="33" t="n">
        <f aca="false">'Stavební rozpočet'!H550</f>
        <v>0</v>
      </c>
      <c r="F42" s="33" t="n">
        <f aca="false">'Stavební rozpočet'!I550</f>
        <v>0</v>
      </c>
      <c r="G42" s="33" t="n">
        <f aca="false">'Stavební rozpočet'!J550</f>
        <v>0</v>
      </c>
      <c r="H42" s="35" t="s">
        <v>1089</v>
      </c>
      <c r="I42" s="33" t="n">
        <f aca="false">IF(H42="F",0,G42)</f>
        <v>0</v>
      </c>
    </row>
    <row r="43" customFormat="false" ht="15" hidden="false" customHeight="false" outlineLevel="0" collapsed="false">
      <c r="A43" s="32" t="s">
        <v>1058</v>
      </c>
      <c r="B43" s="32"/>
      <c r="C43" s="10" t="s">
        <v>1059</v>
      </c>
      <c r="D43" s="10"/>
      <c r="E43" s="33" t="n">
        <f aca="false">'Stavební rozpočet'!H555</f>
        <v>0</v>
      </c>
      <c r="F43" s="33" t="n">
        <f aca="false">'Stavební rozpočet'!I555</f>
        <v>0</v>
      </c>
      <c r="G43" s="33" t="n">
        <f aca="false">'Stavební rozpočet'!J555</f>
        <v>0</v>
      </c>
      <c r="H43" s="35" t="s">
        <v>1089</v>
      </c>
      <c r="I43" s="33" t="n">
        <f aca="false">IF(H43="F",0,G43)</f>
        <v>0</v>
      </c>
    </row>
    <row r="44" customFormat="false" ht="15" hidden="false" customHeight="false" outlineLevel="0" collapsed="false">
      <c r="F44" s="46" t="s">
        <v>1083</v>
      </c>
      <c r="G44" s="47" t="n">
        <f aca="false">SUM(I11:I43)</f>
        <v>0</v>
      </c>
    </row>
  </sheetData>
  <mergeCells count="92">
    <mergeCell ref="A1:G1"/>
    <mergeCell ref="A2:B3"/>
    <mergeCell ref="C2:C3"/>
    <mergeCell ref="D2:D3"/>
    <mergeCell ref="E2:E3"/>
    <mergeCell ref="F2:F3"/>
    <mergeCell ref="G2:G3"/>
    <mergeCell ref="A4:B5"/>
    <mergeCell ref="C4:C5"/>
    <mergeCell ref="D4:D5"/>
    <mergeCell ref="E4:E5"/>
    <mergeCell ref="F4:F5"/>
    <mergeCell ref="G4:G5"/>
    <mergeCell ref="A6:B7"/>
    <mergeCell ref="C6:C7"/>
    <mergeCell ref="D6:D7"/>
    <mergeCell ref="E6:E7"/>
    <mergeCell ref="F6:F7"/>
    <mergeCell ref="G6:G7"/>
    <mergeCell ref="A8:B9"/>
    <mergeCell ref="C8:C9"/>
    <mergeCell ref="D8:D9"/>
    <mergeCell ref="E8:E9"/>
    <mergeCell ref="F8:F9"/>
    <mergeCell ref="G8:G9"/>
    <mergeCell ref="A10:B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40:B40"/>
    <mergeCell ref="C40:D40"/>
    <mergeCell ref="A41:B41"/>
    <mergeCell ref="C41:D41"/>
    <mergeCell ref="A42:B42"/>
    <mergeCell ref="C42:D42"/>
    <mergeCell ref="A43:B43"/>
    <mergeCell ref="C43:D43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12.1484375" defaultRowHeight="1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7.15"/>
    <col collapsed="false" customWidth="true" hidden="false" outlineLevel="0" max="4" min="4" style="0" width="10"/>
    <col collapsed="false" customWidth="true" hidden="false" outlineLevel="0" max="5" min="5" style="0" width="14"/>
    <col collapsed="false" customWidth="true" hidden="false" outlineLevel="0" max="6" min="6" style="0" width="27.15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7.15"/>
  </cols>
  <sheetData>
    <row r="1" customFormat="false" ht="35.8" hidden="false" customHeight="true" outlineLevel="0" collapsed="false">
      <c r="A1" s="57" t="s">
        <v>1090</v>
      </c>
      <c r="B1" s="57"/>
      <c r="C1" s="57"/>
      <c r="D1" s="57"/>
      <c r="E1" s="57"/>
      <c r="F1" s="57"/>
      <c r="G1" s="57"/>
      <c r="H1" s="57"/>
      <c r="I1" s="57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ZATEPLENÍ OBJEKTU BD Č.P.3014</v>
      </c>
      <c r="D2" s="4"/>
      <c r="E2" s="6" t="s">
        <v>5</v>
      </c>
      <c r="F2" s="58" t="str">
        <f aca="false">'Stavební rozpočet'!I2</f>
        <v>MĚSTO VARNSDORF</v>
      </c>
      <c r="G2" s="58"/>
      <c r="H2" s="6" t="s">
        <v>1091</v>
      </c>
      <c r="I2" s="59"/>
    </row>
    <row r="3" customFormat="false" ht="15" hidden="false" customHeight="true" outlineLevel="0" collapsed="false">
      <c r="A3" s="3"/>
      <c r="B3" s="3"/>
      <c r="C3" s="4"/>
      <c r="D3" s="4"/>
      <c r="E3" s="6"/>
      <c r="F3" s="6"/>
      <c r="G3" s="58"/>
      <c r="H3" s="6"/>
      <c r="I3" s="59"/>
    </row>
    <row r="4" customFormat="false" ht="15" hidden="false" customHeight="true" outlineLevel="0" collapsed="false">
      <c r="A4" s="8" t="s">
        <v>7</v>
      </c>
      <c r="B4" s="8"/>
      <c r="C4" s="9" t="str">
        <f aca="false">'Stavební rozpočet'!C4</f>
        <v>STAVEBNÍ PRÁCE</v>
      </c>
      <c r="D4" s="9"/>
      <c r="E4" s="9" t="s">
        <v>10</v>
      </c>
      <c r="F4" s="9" t="str">
        <f aca="false">'Stavební rozpočet'!I4</f>
        <v>Ing. Jiří Drahota</v>
      </c>
      <c r="G4" s="9"/>
      <c r="H4" s="9" t="s">
        <v>1091</v>
      </c>
      <c r="I4" s="60"/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9"/>
      <c r="H5" s="9"/>
      <c r="I5" s="60"/>
    </row>
    <row r="6" customFormat="false" ht="15" hidden="false" customHeight="true" outlineLevel="0" collapsed="false">
      <c r="A6" s="8" t="s">
        <v>12</v>
      </c>
      <c r="B6" s="8"/>
      <c r="C6" s="9" t="str">
        <f aca="false">'Stavební rozpočet'!C6</f>
        <v>VARNSDORF,KAROLÍNY SVĚTLÉ Č.P.3014</v>
      </c>
      <c r="D6" s="9"/>
      <c r="E6" s="9" t="s">
        <v>15</v>
      </c>
      <c r="F6" s="9"/>
      <c r="G6" s="9"/>
      <c r="H6" s="9" t="s">
        <v>1091</v>
      </c>
      <c r="I6" s="60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9"/>
      <c r="H7" s="9"/>
      <c r="I7" s="60"/>
    </row>
    <row r="8" customFormat="false" ht="15" hidden="false" customHeight="true" outlineLevel="0" collapsed="false">
      <c r="A8" s="8" t="s">
        <v>9</v>
      </c>
      <c r="B8" s="8"/>
      <c r="C8" s="9" t="str">
        <f aca="false">'Stavební rozpočet'!G4</f>
        <v> </v>
      </c>
      <c r="D8" s="9"/>
      <c r="E8" s="9" t="s">
        <v>14</v>
      </c>
      <c r="F8" s="9" t="str">
        <f aca="false">'Stavební rozpočet'!G6</f>
        <v> </v>
      </c>
      <c r="G8" s="9"/>
      <c r="H8" s="10" t="s">
        <v>1092</v>
      </c>
      <c r="I8" s="61" t="n">
        <v>230</v>
      </c>
    </row>
    <row r="9" customFormat="false" ht="15" hidden="false" customHeight="false" outlineLevel="0" collapsed="false">
      <c r="A9" s="8"/>
      <c r="B9" s="8"/>
      <c r="C9" s="9"/>
      <c r="D9" s="9"/>
      <c r="E9" s="9"/>
      <c r="F9" s="9"/>
      <c r="G9" s="9"/>
      <c r="H9" s="10"/>
      <c r="I9" s="61"/>
    </row>
    <row r="10" customFormat="false" ht="12.8" hidden="false" customHeight="true" outlineLevel="0" collapsed="false">
      <c r="A10" s="62" t="s">
        <v>16</v>
      </c>
      <c r="B10" s="62"/>
      <c r="C10" s="63" t="str">
        <f aca="false">'Stavební rozpočet'!C8</f>
        <v> </v>
      </c>
      <c r="D10" s="63"/>
      <c r="E10" s="64" t="s">
        <v>18</v>
      </c>
      <c r="F10" s="65" t="str">
        <f aca="false">'[1]Stavební rozpočet'!H8</f>
        <v>Ing. Jiří Drahota, Jiří Trojan</v>
      </c>
      <c r="G10" s="65"/>
      <c r="H10" s="52" t="s">
        <v>1093</v>
      </c>
      <c r="I10" s="66" t="n">
        <v>45412</v>
      </c>
    </row>
    <row r="11" customFormat="false" ht="12.8" hidden="false" customHeight="false" outlineLevel="0" collapsed="false">
      <c r="A11" s="62"/>
      <c r="B11" s="62"/>
      <c r="C11" s="63"/>
      <c r="D11" s="63"/>
      <c r="E11" s="64"/>
      <c r="F11" s="65"/>
      <c r="G11" s="65"/>
      <c r="H11" s="52"/>
      <c r="I11" s="66"/>
    </row>
    <row r="12" customFormat="false" ht="23.25" hidden="false" customHeight="false" outlineLevel="0" collapsed="false">
      <c r="A12" s="67" t="s">
        <v>1094</v>
      </c>
      <c r="B12" s="67"/>
      <c r="C12" s="67"/>
      <c r="D12" s="67"/>
      <c r="E12" s="67"/>
      <c r="F12" s="67"/>
      <c r="G12" s="67"/>
      <c r="H12" s="67"/>
      <c r="I12" s="67"/>
    </row>
    <row r="13" customFormat="false" ht="26.25" hidden="false" customHeight="true" outlineLevel="0" collapsed="false">
      <c r="A13" s="68" t="s">
        <v>1095</v>
      </c>
      <c r="B13" s="69" t="s">
        <v>1096</v>
      </c>
      <c r="C13" s="69"/>
      <c r="D13" s="70" t="s">
        <v>1097</v>
      </c>
      <c r="E13" s="69" t="s">
        <v>1098</v>
      </c>
      <c r="F13" s="69"/>
      <c r="G13" s="70" t="s">
        <v>1099</v>
      </c>
      <c r="H13" s="69" t="s">
        <v>1100</v>
      </c>
      <c r="I13" s="69"/>
    </row>
    <row r="14" customFormat="false" ht="15.75" hidden="false" customHeight="false" outlineLevel="0" collapsed="false">
      <c r="A14" s="71" t="s">
        <v>1101</v>
      </c>
      <c r="B14" s="72" t="s">
        <v>1102</v>
      </c>
      <c r="C14" s="73" t="n">
        <f aca="false">SUM('Stavební rozpočet'!AB12:AB567)</f>
        <v>0</v>
      </c>
      <c r="D14" s="72" t="s">
        <v>1103</v>
      </c>
      <c r="E14" s="72"/>
      <c r="F14" s="73" t="n">
        <f aca="false">VORN!I15</f>
        <v>0</v>
      </c>
      <c r="G14" s="72" t="s">
        <v>74</v>
      </c>
      <c r="H14" s="72"/>
      <c r="I14" s="74" t="n">
        <f aca="false">VORN!I21</f>
        <v>0</v>
      </c>
    </row>
    <row r="15" customFormat="false" ht="15.75" hidden="false" customHeight="false" outlineLevel="0" collapsed="false">
      <c r="A15" s="75"/>
      <c r="B15" s="72" t="s">
        <v>34</v>
      </c>
      <c r="C15" s="73" t="n">
        <f aca="false">SUM('Stavební rozpočet'!AC12:AC567)</f>
        <v>0</v>
      </c>
      <c r="D15" s="72" t="s">
        <v>1104</v>
      </c>
      <c r="E15" s="72"/>
      <c r="F15" s="73" t="n">
        <f aca="false">VORN!I16</f>
        <v>0</v>
      </c>
      <c r="G15" s="72" t="s">
        <v>1105</v>
      </c>
      <c r="H15" s="72"/>
      <c r="I15" s="74" t="n">
        <f aca="false">VORN!I22</f>
        <v>0</v>
      </c>
    </row>
    <row r="16" customFormat="false" ht="15.75" hidden="false" customHeight="false" outlineLevel="0" collapsed="false">
      <c r="A16" s="71" t="s">
        <v>1106</v>
      </c>
      <c r="B16" s="72" t="s">
        <v>1102</v>
      </c>
      <c r="C16" s="73" t="n">
        <f aca="false">SUM('Stavební rozpočet'!AD12:AD567)</f>
        <v>0</v>
      </c>
      <c r="D16" s="72" t="s">
        <v>1107</v>
      </c>
      <c r="E16" s="72"/>
      <c r="F16" s="73" t="n">
        <f aca="false">VORN!I17</f>
        <v>0</v>
      </c>
      <c r="G16" s="72" t="s">
        <v>66</v>
      </c>
      <c r="H16" s="72"/>
      <c r="I16" s="74" t="n">
        <f aca="false">VORN!I23</f>
        <v>0</v>
      </c>
    </row>
    <row r="17" customFormat="false" ht="15.75" hidden="false" customHeight="false" outlineLevel="0" collapsed="false">
      <c r="A17" s="75"/>
      <c r="B17" s="72" t="s">
        <v>34</v>
      </c>
      <c r="C17" s="73" t="n">
        <f aca="false">SUM('Stavební rozpočet'!AE12:AE567)</f>
        <v>0</v>
      </c>
      <c r="D17" s="72"/>
      <c r="E17" s="72"/>
      <c r="F17" s="74"/>
      <c r="G17" s="72" t="s">
        <v>70</v>
      </c>
      <c r="H17" s="72"/>
      <c r="I17" s="74" t="n">
        <f aca="false">VORN!I24</f>
        <v>0</v>
      </c>
    </row>
    <row r="18" customFormat="false" ht="15.75" hidden="false" customHeight="false" outlineLevel="0" collapsed="false">
      <c r="A18" s="71" t="s">
        <v>1108</v>
      </c>
      <c r="B18" s="72" t="s">
        <v>1102</v>
      </c>
      <c r="C18" s="73" t="n">
        <f aca="false">SUM('Stavební rozpočet'!AF12:AF567)</f>
        <v>0</v>
      </c>
      <c r="D18" s="72"/>
      <c r="E18" s="72"/>
      <c r="F18" s="74"/>
      <c r="G18" s="72" t="s">
        <v>1109</v>
      </c>
      <c r="H18" s="72"/>
      <c r="I18" s="74" t="n">
        <f aca="false">VORN!I25</f>
        <v>0</v>
      </c>
    </row>
    <row r="19" customFormat="false" ht="15.75" hidden="false" customHeight="false" outlineLevel="0" collapsed="false">
      <c r="A19" s="75"/>
      <c r="B19" s="72" t="s">
        <v>34</v>
      </c>
      <c r="C19" s="73" t="n">
        <f aca="false">SUM('Stavební rozpočet'!AG12:AG567)</f>
        <v>0</v>
      </c>
      <c r="D19" s="72"/>
      <c r="E19" s="72"/>
      <c r="F19" s="74"/>
      <c r="G19" s="72" t="s">
        <v>1110</v>
      </c>
      <c r="H19" s="72"/>
      <c r="I19" s="74" t="n">
        <f aca="false">VORN!I26</f>
        <v>0</v>
      </c>
    </row>
    <row r="20" customFormat="false" ht="15.75" hidden="false" customHeight="false" outlineLevel="0" collapsed="false">
      <c r="A20" s="75" t="s">
        <v>1111</v>
      </c>
      <c r="B20" s="75"/>
      <c r="C20" s="73" t="n">
        <f aca="false">SUM('Stavební rozpočet'!AH12:AH567)</f>
        <v>0</v>
      </c>
      <c r="D20" s="72"/>
      <c r="E20" s="72"/>
      <c r="F20" s="74"/>
      <c r="G20" s="72"/>
      <c r="H20" s="72"/>
      <c r="I20" s="74"/>
    </row>
    <row r="21" customFormat="false" ht="15.75" hidden="false" customHeight="false" outlineLevel="0" collapsed="false">
      <c r="A21" s="71" t="s">
        <v>1112</v>
      </c>
      <c r="B21" s="71"/>
      <c r="C21" s="76" t="n">
        <f aca="false">SUM('Stavební rozpočet'!Z12:Z567)</f>
        <v>0</v>
      </c>
      <c r="D21" s="77"/>
      <c r="E21" s="77"/>
      <c r="F21" s="78"/>
      <c r="G21" s="77"/>
      <c r="H21" s="77"/>
      <c r="I21" s="78"/>
    </row>
    <row r="22" customFormat="false" ht="16.5" hidden="false" customHeight="true" outlineLevel="0" collapsed="false">
      <c r="A22" s="79" t="s">
        <v>1113</v>
      </c>
      <c r="B22" s="79"/>
      <c r="C22" s="80" t="n">
        <f aca="false">SUM(C14:C21)</f>
        <v>0</v>
      </c>
      <c r="D22" s="81" t="s">
        <v>1114</v>
      </c>
      <c r="E22" s="81"/>
      <c r="F22" s="80" t="n">
        <f aca="false">SUM(F14:F21)</f>
        <v>0</v>
      </c>
      <c r="G22" s="81" t="s">
        <v>1115</v>
      </c>
      <c r="H22" s="81"/>
      <c r="I22" s="80" t="n">
        <f aca="false">SUM(I14:I21)</f>
        <v>0</v>
      </c>
    </row>
    <row r="23" customFormat="false" ht="15.75" hidden="false" customHeight="false" outlineLevel="0" collapsed="false">
      <c r="D23" s="75" t="s">
        <v>1116</v>
      </c>
      <c r="E23" s="75"/>
      <c r="F23" s="82" t="n">
        <v>0</v>
      </c>
      <c r="G23" s="83" t="s">
        <v>1117</v>
      </c>
      <c r="H23" s="83"/>
      <c r="I23" s="73" t="n">
        <v>0</v>
      </c>
    </row>
    <row r="24" customFormat="false" ht="15.75" hidden="false" customHeight="false" outlineLevel="0" collapsed="false">
      <c r="G24" s="75" t="s">
        <v>1118</v>
      </c>
      <c r="H24" s="75"/>
      <c r="I24" s="76" t="n">
        <f aca="false">vorn_sum</f>
        <v>0</v>
      </c>
    </row>
    <row r="25" customFormat="false" ht="15.75" hidden="false" customHeight="false" outlineLevel="0" collapsed="false">
      <c r="G25" s="75" t="s">
        <v>1119</v>
      </c>
      <c r="H25" s="75"/>
      <c r="I25" s="80" t="n">
        <v>0</v>
      </c>
    </row>
    <row r="27" customFormat="false" ht="15.75" hidden="false" customHeight="false" outlineLevel="0" collapsed="false">
      <c r="A27" s="84" t="s">
        <v>1120</v>
      </c>
      <c r="B27" s="84"/>
      <c r="C27" s="85" t="n">
        <f aca="false">SUM('Stavební rozpočet'!AJ12:AJ567)</f>
        <v>0</v>
      </c>
    </row>
    <row r="28" customFormat="false" ht="15.75" hidden="false" customHeight="false" outlineLevel="0" collapsed="false">
      <c r="A28" s="86" t="s">
        <v>1121</v>
      </c>
      <c r="B28" s="86"/>
      <c r="C28" s="87" t="n">
        <f aca="false">SUM('Stavební rozpočet'!AK12:AK567)+(F22+I22+F23+I23+I24+I25)</f>
        <v>0</v>
      </c>
      <c r="D28" s="88" t="s">
        <v>1122</v>
      </c>
      <c r="E28" s="88"/>
      <c r="F28" s="85" t="n">
        <f aca="false">ROUND(C28*(12/100),2)</f>
        <v>0</v>
      </c>
      <c r="G28" s="88" t="s">
        <v>1123</v>
      </c>
      <c r="H28" s="88"/>
      <c r="I28" s="85" t="n">
        <f aca="false">SUM(C27:C29)</f>
        <v>0</v>
      </c>
    </row>
    <row r="29" customFormat="false" ht="15.75" hidden="false" customHeight="false" outlineLevel="0" collapsed="false">
      <c r="A29" s="86" t="s">
        <v>1124</v>
      </c>
      <c r="B29" s="86"/>
      <c r="C29" s="87" t="n">
        <f aca="false">SUM('Stavební rozpočet'!AL12:AL567)</f>
        <v>0</v>
      </c>
      <c r="D29" s="89" t="s">
        <v>1125</v>
      </c>
      <c r="E29" s="89"/>
      <c r="F29" s="87" t="n">
        <f aca="false">ROUND(C29*(21/100),2)</f>
        <v>0</v>
      </c>
      <c r="G29" s="89" t="s">
        <v>1126</v>
      </c>
      <c r="H29" s="89"/>
      <c r="I29" s="87" t="n">
        <f aca="false">SUM(F28:F29)+I28</f>
        <v>0</v>
      </c>
    </row>
    <row r="31" customFormat="false" ht="15" hidden="false" customHeight="false" outlineLevel="0" collapsed="false">
      <c r="A31" s="90" t="s">
        <v>1127</v>
      </c>
      <c r="B31" s="90"/>
      <c r="C31" s="90"/>
      <c r="D31" s="91" t="s">
        <v>1128</v>
      </c>
      <c r="E31" s="91"/>
      <c r="F31" s="91"/>
      <c r="G31" s="91" t="s">
        <v>1129</v>
      </c>
      <c r="H31" s="91"/>
      <c r="I31" s="91"/>
    </row>
    <row r="32" customFormat="false" ht="15" hidden="false" customHeight="false" outlineLevel="0" collapsed="false">
      <c r="A32" s="92"/>
      <c r="B32" s="92"/>
      <c r="C32" s="92"/>
      <c r="D32" s="93"/>
      <c r="E32" s="93"/>
      <c r="F32" s="93"/>
      <c r="G32" s="93"/>
      <c r="H32" s="93"/>
      <c r="I32" s="93"/>
    </row>
    <row r="33" customFormat="false" ht="15" hidden="false" customHeight="false" outlineLevel="0" collapsed="false">
      <c r="A33" s="92"/>
      <c r="B33" s="92"/>
      <c r="C33" s="92"/>
      <c r="D33" s="93"/>
      <c r="E33" s="93"/>
      <c r="F33" s="93"/>
      <c r="G33" s="93"/>
      <c r="H33" s="93"/>
      <c r="I33" s="93"/>
    </row>
    <row r="34" customFormat="false" ht="15" hidden="false" customHeight="false" outlineLevel="0" collapsed="false">
      <c r="A34" s="92"/>
      <c r="B34" s="92"/>
      <c r="C34" s="92"/>
      <c r="D34" s="93"/>
      <c r="E34" s="93"/>
      <c r="F34" s="93"/>
      <c r="G34" s="93"/>
      <c r="H34" s="93"/>
      <c r="I34" s="93"/>
    </row>
    <row r="35" customFormat="false" ht="15" hidden="false" customHeight="false" outlineLevel="0" collapsed="false">
      <c r="A35" s="94" t="s">
        <v>1130</v>
      </c>
      <c r="B35" s="94"/>
      <c r="C35" s="94"/>
      <c r="D35" s="95" t="s">
        <v>1130</v>
      </c>
      <c r="E35" s="95"/>
      <c r="F35" s="95"/>
      <c r="G35" s="95" t="s">
        <v>1130</v>
      </c>
      <c r="H35" s="95"/>
      <c r="I35" s="95"/>
    </row>
    <row r="36" customFormat="false" ht="15" hidden="false" customHeight="false" outlineLevel="0" collapsed="false">
      <c r="A36" s="48" t="s">
        <v>1084</v>
      </c>
    </row>
    <row r="37" customFormat="false" ht="12.75" hidden="false" customHeight="true" outlineLevel="0" collapsed="false">
      <c r="A37" s="9"/>
      <c r="B37" s="9"/>
      <c r="C37" s="9"/>
      <c r="D37" s="9"/>
      <c r="E37" s="9"/>
      <c r="F37" s="9"/>
      <c r="G37" s="9"/>
      <c r="H37" s="9"/>
      <c r="I37" s="9"/>
    </row>
  </sheetData>
  <mergeCells count="83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4:C34"/>
    <mergeCell ref="D34:F34"/>
    <mergeCell ref="G34:I34"/>
    <mergeCell ref="A35:C35"/>
    <mergeCell ref="D35:F35"/>
    <mergeCell ref="G35:I35"/>
    <mergeCell ref="A37:I37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ColWidth="12.1484375" defaultRowHeight="1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10"/>
    <col collapsed="false" customWidth="true" hidden="false" outlineLevel="0" max="5" min="5" style="0" width="14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7.15"/>
    <col collapsed="false" customWidth="true" hidden="false" outlineLevel="0" max="9" min="9" style="0" width="22.86"/>
  </cols>
  <sheetData>
    <row r="1" customFormat="false" ht="54.75" hidden="false" customHeight="true" outlineLevel="0" collapsed="false">
      <c r="A1" s="57" t="s">
        <v>1131</v>
      </c>
      <c r="B1" s="57"/>
      <c r="C1" s="57"/>
      <c r="D1" s="57"/>
      <c r="E1" s="57"/>
      <c r="F1" s="57"/>
      <c r="G1" s="57"/>
      <c r="H1" s="57"/>
      <c r="I1" s="57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ZATEPLENÍ OBJEKTU BD Č.P.3014</v>
      </c>
      <c r="D2" s="4"/>
      <c r="E2" s="6" t="s">
        <v>5</v>
      </c>
      <c r="F2" s="58" t="str">
        <f aca="false">'Stavební rozpočet'!I2</f>
        <v>MĚSTO VARNSDORF</v>
      </c>
      <c r="G2" s="58"/>
      <c r="H2" s="6" t="s">
        <v>1091</v>
      </c>
      <c r="I2" s="59"/>
    </row>
    <row r="3" customFormat="false" ht="15" hidden="false" customHeight="true" outlineLevel="0" collapsed="false">
      <c r="A3" s="3"/>
      <c r="B3" s="3"/>
      <c r="C3" s="4"/>
      <c r="D3" s="4"/>
      <c r="E3" s="6"/>
      <c r="F3" s="6"/>
      <c r="G3" s="58"/>
      <c r="H3" s="6"/>
      <c r="I3" s="59"/>
    </row>
    <row r="4" customFormat="false" ht="15" hidden="false" customHeight="true" outlineLevel="0" collapsed="false">
      <c r="A4" s="8" t="s">
        <v>7</v>
      </c>
      <c r="B4" s="8"/>
      <c r="C4" s="9" t="str">
        <f aca="false">'Stavební rozpočet'!C4</f>
        <v>STAVEBNÍ PRÁCE</v>
      </c>
      <c r="D4" s="9"/>
      <c r="E4" s="9" t="s">
        <v>10</v>
      </c>
      <c r="F4" s="9" t="str">
        <f aca="false">'Stavební rozpočet'!I4</f>
        <v>Ing. Jiří Drahota</v>
      </c>
      <c r="G4" s="9"/>
      <c r="H4" s="9" t="s">
        <v>1091</v>
      </c>
      <c r="I4" s="60"/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9"/>
      <c r="H5" s="9"/>
      <c r="I5" s="60"/>
    </row>
    <row r="6" customFormat="false" ht="15" hidden="false" customHeight="true" outlineLevel="0" collapsed="false">
      <c r="A6" s="8" t="s">
        <v>12</v>
      </c>
      <c r="B6" s="8"/>
      <c r="C6" s="9" t="str">
        <f aca="false">'Stavební rozpočet'!C6</f>
        <v>VARNSDORF,KAROLÍNY SVĚTLÉ Č.P.3014</v>
      </c>
      <c r="D6" s="9"/>
      <c r="E6" s="9" t="s">
        <v>15</v>
      </c>
      <c r="F6" s="9" t="n">
        <f aca="false">'Stavební rozpočet'!I6</f>
        <v>0</v>
      </c>
      <c r="G6" s="9"/>
      <c r="H6" s="9" t="s">
        <v>1091</v>
      </c>
      <c r="I6" s="60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9"/>
      <c r="H7" s="9"/>
      <c r="I7" s="60"/>
    </row>
    <row r="8" customFormat="false" ht="15" hidden="false" customHeight="true" outlineLevel="0" collapsed="false">
      <c r="A8" s="8" t="s">
        <v>9</v>
      </c>
      <c r="B8" s="8"/>
      <c r="C8" s="9" t="str">
        <f aca="false">'Stavební rozpočet'!G4</f>
        <v> </v>
      </c>
      <c r="D8" s="9"/>
      <c r="E8" s="9" t="s">
        <v>14</v>
      </c>
      <c r="F8" s="9" t="str">
        <f aca="false">'Stavební rozpočet'!G6</f>
        <v> </v>
      </c>
      <c r="G8" s="9"/>
      <c r="H8" s="10" t="s">
        <v>1092</v>
      </c>
      <c r="I8" s="61" t="n">
        <v>230</v>
      </c>
    </row>
    <row r="9" customFormat="false" ht="15" hidden="false" customHeight="false" outlineLevel="0" collapsed="false">
      <c r="A9" s="8"/>
      <c r="B9" s="8"/>
      <c r="C9" s="9"/>
      <c r="D9" s="9"/>
      <c r="E9" s="9"/>
      <c r="F9" s="9"/>
      <c r="G9" s="9"/>
      <c r="H9" s="10"/>
      <c r="I9" s="61"/>
    </row>
    <row r="10" customFormat="false" ht="15" hidden="false" customHeight="true" outlineLevel="0" collapsed="false">
      <c r="A10" s="62" t="s">
        <v>16</v>
      </c>
      <c r="B10" s="62"/>
      <c r="C10" s="63" t="str">
        <f aca="false">'Stavební rozpočet'!C8</f>
        <v> </v>
      </c>
      <c r="D10" s="63"/>
      <c r="E10" s="64" t="s">
        <v>18</v>
      </c>
      <c r="F10" s="63" t="str">
        <f aca="false">'Stavební rozpočet'!I8</f>
        <v>Ing. Jiří Drahota, Jiří Trojan</v>
      </c>
      <c r="G10" s="63"/>
      <c r="H10" s="52" t="s">
        <v>1093</v>
      </c>
      <c r="I10" s="66" t="n">
        <f aca="false">'Stavební rozpočet'!G8</f>
        <v>45412</v>
      </c>
    </row>
    <row r="11" customFormat="false" ht="15" hidden="false" customHeight="false" outlineLevel="0" collapsed="false">
      <c r="A11" s="62"/>
      <c r="B11" s="62"/>
      <c r="C11" s="63"/>
      <c r="D11" s="63"/>
      <c r="E11" s="64"/>
      <c r="F11" s="64"/>
      <c r="G11" s="63"/>
      <c r="H11" s="52"/>
      <c r="I11" s="66"/>
    </row>
    <row r="13" customFormat="false" ht="15.75" hidden="false" customHeight="false" outlineLevel="0" collapsed="false">
      <c r="A13" s="96" t="s">
        <v>1132</v>
      </c>
      <c r="B13" s="96"/>
      <c r="C13" s="96"/>
      <c r="D13" s="96"/>
      <c r="E13" s="96"/>
    </row>
    <row r="14" customFormat="false" ht="15" hidden="false" customHeight="false" outlineLevel="0" collapsed="false">
      <c r="A14" s="97" t="s">
        <v>1133</v>
      </c>
      <c r="B14" s="97"/>
      <c r="C14" s="97"/>
      <c r="D14" s="97"/>
      <c r="E14" s="97"/>
      <c r="F14" s="98" t="s">
        <v>1134</v>
      </c>
      <c r="G14" s="98" t="s">
        <v>1135</v>
      </c>
      <c r="H14" s="98" t="s">
        <v>1136</v>
      </c>
      <c r="I14" s="98" t="s">
        <v>1134</v>
      </c>
    </row>
    <row r="15" customFormat="false" ht="15" hidden="false" customHeight="false" outlineLevel="0" collapsed="false">
      <c r="A15" s="99" t="s">
        <v>1103</v>
      </c>
      <c r="B15" s="99"/>
      <c r="C15" s="99"/>
      <c r="D15" s="99"/>
      <c r="E15" s="99"/>
      <c r="F15" s="100" t="n">
        <v>0</v>
      </c>
      <c r="G15" s="101"/>
      <c r="H15" s="101"/>
      <c r="I15" s="100" t="n">
        <f aca="false">F15</f>
        <v>0</v>
      </c>
    </row>
    <row r="16" customFormat="false" ht="15" hidden="false" customHeight="false" outlineLevel="0" collapsed="false">
      <c r="A16" s="99" t="s">
        <v>1104</v>
      </c>
      <c r="B16" s="99"/>
      <c r="C16" s="99"/>
      <c r="D16" s="99"/>
      <c r="E16" s="99"/>
      <c r="F16" s="100" t="n">
        <v>0</v>
      </c>
      <c r="G16" s="101"/>
      <c r="H16" s="101"/>
      <c r="I16" s="100" t="n">
        <f aca="false">F16</f>
        <v>0</v>
      </c>
    </row>
    <row r="17" customFormat="false" ht="15" hidden="false" customHeight="false" outlineLevel="0" collapsed="false">
      <c r="A17" s="102" t="s">
        <v>1107</v>
      </c>
      <c r="B17" s="102"/>
      <c r="C17" s="102"/>
      <c r="D17" s="102"/>
      <c r="E17" s="102"/>
      <c r="F17" s="103" t="n">
        <v>0</v>
      </c>
      <c r="G17" s="60"/>
      <c r="H17" s="60"/>
      <c r="I17" s="103" t="n">
        <f aca="false">F17</f>
        <v>0</v>
      </c>
    </row>
    <row r="18" customFormat="false" ht="15" hidden="false" customHeight="false" outlineLevel="0" collapsed="false">
      <c r="A18" s="104" t="s">
        <v>1137</v>
      </c>
      <c r="B18" s="104"/>
      <c r="C18" s="104"/>
      <c r="D18" s="104"/>
      <c r="E18" s="104"/>
      <c r="F18" s="105"/>
      <c r="G18" s="106"/>
      <c r="H18" s="106"/>
      <c r="I18" s="107" t="n">
        <f aca="false">SUM(I15:I17)</f>
        <v>0</v>
      </c>
    </row>
    <row r="20" customFormat="false" ht="15" hidden="false" customHeight="false" outlineLevel="0" collapsed="false">
      <c r="A20" s="97" t="s">
        <v>1100</v>
      </c>
      <c r="B20" s="97"/>
      <c r="C20" s="97"/>
      <c r="D20" s="97"/>
      <c r="E20" s="97"/>
      <c r="F20" s="98" t="s">
        <v>1134</v>
      </c>
      <c r="G20" s="98" t="s">
        <v>1135</v>
      </c>
      <c r="H20" s="98" t="s">
        <v>1136</v>
      </c>
      <c r="I20" s="98" t="s">
        <v>1134</v>
      </c>
    </row>
    <row r="21" customFormat="false" ht="15" hidden="false" customHeight="false" outlineLevel="0" collapsed="false">
      <c r="A21" s="99" t="s">
        <v>74</v>
      </c>
      <c r="B21" s="99"/>
      <c r="C21" s="99"/>
      <c r="D21" s="99"/>
      <c r="E21" s="99"/>
      <c r="F21" s="100" t="n">
        <v>0</v>
      </c>
      <c r="G21" s="101"/>
      <c r="H21" s="101"/>
      <c r="I21" s="100" t="n">
        <f aca="false">F21</f>
        <v>0</v>
      </c>
    </row>
    <row r="22" customFormat="false" ht="15" hidden="false" customHeight="false" outlineLevel="0" collapsed="false">
      <c r="A22" s="99" t="s">
        <v>1105</v>
      </c>
      <c r="B22" s="99"/>
      <c r="C22" s="99"/>
      <c r="D22" s="99"/>
      <c r="E22" s="99"/>
      <c r="F22" s="100" t="n">
        <v>0</v>
      </c>
      <c r="G22" s="101"/>
      <c r="H22" s="101"/>
      <c r="I22" s="100" t="n">
        <f aca="false">F22</f>
        <v>0</v>
      </c>
    </row>
    <row r="23" customFormat="false" ht="15" hidden="false" customHeight="false" outlineLevel="0" collapsed="false">
      <c r="A23" s="99" t="s">
        <v>66</v>
      </c>
      <c r="B23" s="99"/>
      <c r="C23" s="99"/>
      <c r="D23" s="99"/>
      <c r="E23" s="99"/>
      <c r="F23" s="100" t="n">
        <v>0</v>
      </c>
      <c r="G23" s="101"/>
      <c r="H23" s="101"/>
      <c r="I23" s="100" t="n">
        <f aca="false">F23</f>
        <v>0</v>
      </c>
    </row>
    <row r="24" customFormat="false" ht="15" hidden="false" customHeight="false" outlineLevel="0" collapsed="false">
      <c r="A24" s="99" t="s">
        <v>70</v>
      </c>
      <c r="B24" s="99"/>
      <c r="C24" s="99"/>
      <c r="D24" s="99"/>
      <c r="E24" s="99"/>
      <c r="F24" s="100" t="n">
        <v>0</v>
      </c>
      <c r="G24" s="101"/>
      <c r="H24" s="101"/>
      <c r="I24" s="100" t="n">
        <f aca="false">F24</f>
        <v>0</v>
      </c>
    </row>
    <row r="25" customFormat="false" ht="15" hidden="false" customHeight="false" outlineLevel="0" collapsed="false">
      <c r="A25" s="99" t="s">
        <v>1109</v>
      </c>
      <c r="B25" s="99"/>
      <c r="C25" s="99"/>
      <c r="D25" s="99"/>
      <c r="E25" s="99"/>
      <c r="F25" s="100" t="n">
        <v>0</v>
      </c>
      <c r="G25" s="101"/>
      <c r="H25" s="101"/>
      <c r="I25" s="100" t="n">
        <f aca="false">F25</f>
        <v>0</v>
      </c>
    </row>
    <row r="26" customFormat="false" ht="15" hidden="false" customHeight="false" outlineLevel="0" collapsed="false">
      <c r="A26" s="102" t="s">
        <v>1110</v>
      </c>
      <c r="B26" s="102"/>
      <c r="C26" s="102"/>
      <c r="D26" s="102"/>
      <c r="E26" s="102"/>
      <c r="F26" s="103" t="n">
        <v>0</v>
      </c>
      <c r="G26" s="60"/>
      <c r="H26" s="60"/>
      <c r="I26" s="103" t="n">
        <f aca="false">F26</f>
        <v>0</v>
      </c>
    </row>
    <row r="27" customFormat="false" ht="15" hidden="false" customHeight="false" outlineLevel="0" collapsed="false">
      <c r="A27" s="104" t="s">
        <v>1138</v>
      </c>
      <c r="B27" s="104"/>
      <c r="C27" s="104"/>
      <c r="D27" s="104"/>
      <c r="E27" s="104"/>
      <c r="F27" s="105"/>
      <c r="G27" s="106"/>
      <c r="H27" s="106"/>
      <c r="I27" s="107" t="n">
        <f aca="false">SUM(I21:I26)</f>
        <v>0</v>
      </c>
    </row>
    <row r="29" customFormat="false" ht="15.75" hidden="false" customHeight="false" outlineLevel="0" collapsed="false">
      <c r="A29" s="108" t="s">
        <v>1139</v>
      </c>
      <c r="B29" s="108"/>
      <c r="C29" s="108"/>
      <c r="D29" s="108"/>
      <c r="E29" s="108"/>
      <c r="F29" s="109" t="n">
        <f aca="false">I18+I27</f>
        <v>0</v>
      </c>
      <c r="G29" s="109"/>
      <c r="H29" s="109"/>
      <c r="I29" s="109"/>
    </row>
    <row r="33" customFormat="false" ht="15.75" hidden="false" customHeight="false" outlineLevel="0" collapsed="false">
      <c r="A33" s="96" t="s">
        <v>1140</v>
      </c>
      <c r="B33" s="96"/>
      <c r="C33" s="96"/>
      <c r="D33" s="96"/>
      <c r="E33" s="96"/>
    </row>
    <row r="34" customFormat="false" ht="15" hidden="false" customHeight="false" outlineLevel="0" collapsed="false">
      <c r="A34" s="97" t="s">
        <v>1141</v>
      </c>
      <c r="B34" s="97"/>
      <c r="C34" s="97"/>
      <c r="D34" s="97"/>
      <c r="E34" s="97"/>
      <c r="F34" s="98" t="s">
        <v>1134</v>
      </c>
      <c r="G34" s="98" t="s">
        <v>1135</v>
      </c>
      <c r="H34" s="98" t="s">
        <v>1136</v>
      </c>
      <c r="I34" s="98" t="s">
        <v>1134</v>
      </c>
    </row>
    <row r="35" customFormat="false" ht="15" hidden="false" customHeight="false" outlineLevel="0" collapsed="false">
      <c r="A35" s="102"/>
      <c r="B35" s="102"/>
      <c r="C35" s="102"/>
      <c r="D35" s="102"/>
      <c r="E35" s="102"/>
      <c r="F35" s="103" t="n">
        <v>0</v>
      </c>
      <c r="G35" s="60"/>
      <c r="H35" s="60"/>
      <c r="I35" s="103" t="n">
        <f aca="false">F35</f>
        <v>0</v>
      </c>
    </row>
    <row r="36" customFormat="false" ht="15" hidden="false" customHeight="false" outlineLevel="0" collapsed="false">
      <c r="A36" s="104" t="s">
        <v>1142</v>
      </c>
      <c r="B36" s="104"/>
      <c r="C36" s="104"/>
      <c r="D36" s="104"/>
      <c r="E36" s="104"/>
      <c r="F36" s="105"/>
      <c r="G36" s="106"/>
      <c r="H36" s="106"/>
      <c r="I36" s="107" t="n">
        <f aca="false"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2021-06-10T20:06:38Z</dcterms:created>
  <dc:creator>HP</dc:creator>
  <dc:description/>
  <dc:language>cs-CZ</dc:language>
  <cp:lastModifiedBy/>
  <dcterms:modified xsi:type="dcterms:W3CDTF">2024-04-30T15:31:39Z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